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480" windowHeight="6468" tabRatio="868" firstSheet="1" activeTab="6"/>
  </bookViews>
  <sheets>
    <sheet name="Erläuterungen" sheetId="1" r:id="rId1"/>
    <sheet name="Antrag" sheetId="2" r:id="rId2"/>
    <sheet name="Anlg.1 Verzinsung" sheetId="3" r:id="rId3"/>
    <sheet name="Anlg.2 Auslastung T-N-K" sheetId="4" r:id="rId4"/>
    <sheet name="Anlg.3 Berechnung" sheetId="5" r:id="rId5"/>
    <sheet name="Anlg.4 Kostennachweis" sheetId="6" r:id="rId6"/>
    <sheet name="Anlg.5  Gebäude +Inventarmiete " sheetId="7" r:id="rId7"/>
    <sheet name="Anlg.6 wenn nur Inventarmiete" sheetId="8" r:id="rId8"/>
    <sheet name="Anlg.7 Eigenkapital" sheetId="9" r:id="rId9"/>
    <sheet name="Tabelle1" sheetId="10" r:id="rId10"/>
  </sheets>
  <definedNames>
    <definedName name="_xlnm.Print_Area" localSheetId="2">'Anlg.1 Verzinsung'!$A$1:$R$42</definedName>
    <definedName name="_xlnm.Print_Area" localSheetId="3">'Anlg.2 Auslastung T-N-K'!$A$1:$H$41</definedName>
    <definedName name="_xlnm.Print_Area" localSheetId="4">'Anlg.3 Berechnung'!$A$6:$F$123</definedName>
    <definedName name="_xlnm.Print_Area" localSheetId="6">'Anlg.5  Gebäude +Inventarmiete '!$A$1:$H$94</definedName>
    <definedName name="_xlnm.Print_Area" localSheetId="7">'Anlg.6 wenn nur Inventarmiete'!$A$1:$H$92</definedName>
    <definedName name="_xlnm.Print_Area" localSheetId="8">'Anlg.7 Eigenkapital'!$A$1:$G$55</definedName>
    <definedName name="_xlnm.Print_Area" localSheetId="1">'Antrag'!$A$1:$L$76</definedName>
    <definedName name="_xlnm.Print_Area" localSheetId="0">'Erläuterungen'!$A$1:$H$72</definedName>
  </definedNames>
  <calcPr fullCalcOnLoad="1"/>
</workbook>
</file>

<file path=xl/sharedStrings.xml><?xml version="1.0" encoding="utf-8"?>
<sst xmlns="http://schemas.openxmlformats.org/spreadsheetml/2006/main" count="618" uniqueCount="458">
  <si>
    <t xml:space="preserve">Lt. Statistischem Landesamt neuer Verbraucherpreisindex </t>
  </si>
  <si>
    <t xml:space="preserve">   Bestandsschutz für den alten Bauindex</t>
  </si>
  <si>
    <t xml:space="preserve">   Lt. Statistischem Landesamt neuer Bauindex (14.10.2008 Ng.)</t>
  </si>
  <si>
    <t xml:space="preserve">§ 6 Satz 3 GesBerVO enthält für nach dem 01.07.2008 auszufertigende Zustimmungsbescheide unter bestimmten Voraussetzungen eine Übergangsregelung. Im Rahmen dieser Übergangsregelung bleibt § 4 Abs. 1 Ziffer 4 GesBerVO in seiner vor dem 01.07.2008 geltenden Fassung mit der 4%-igen AfA-Quote für das Gebäude sowie mit der weiteren Indexierung der Kostenobergrenze je qm Nettogrundfläche lt. § 3 Abs. 2 iVm. § 3 Abs. 5, Satz 1 GesBerVO weiter gültig. Diese Übergangsregelung 07/2008 ist berechnungsrelevant, wenn
    -  der erste Zustimmungsbescheid auf Grundlage der GesBerVO vom 15.10.2003 zwischen dem 01.08.2003 und dem
       30.06.2008 erteilt wurde
oder wenn
    -  die Bescheinigung nach § 9 Abs. 2 PfG NW auf der Grundlage eines vor dem 01.07.2008 gestellten Antrags nach
       § 1 Abs. 1 AllgFörderPflegeVO erteilt wurde.
</t>
  </si>
  <si>
    <t>i.V.m. der GesBerVO vom 15.10.2003:</t>
  </si>
  <si>
    <t>Hinweis: Bei einem verkürzten Tilgungszeitraum bleibt der AfA-Zuschlag auf 2% begrenzt.
               Ein AfA-Zuschlag unter 2% ist ausgeschlossen, weil anderenfalls der maximale Tilgungszeitraum von 25 Jahren
               überschritten würde. Bei einer Laufzeit von mehr als 25 Jahren entfällt das Recht auf einen AfA-Zuschlag.</t>
  </si>
  <si>
    <r>
      <t>2.b)  Gilt die Übergangsregelung 07/2008 mit 4% Gebäude-AfA?</t>
    </r>
    <r>
      <rPr>
        <sz val="10"/>
        <rFont val="Arial"/>
        <family val="2"/>
      </rPr>
      <t xml:space="preserve"> (§ 6 S.3 GesBerVO)</t>
    </r>
  </si>
  <si>
    <r>
      <t xml:space="preserve">6.) </t>
    </r>
    <r>
      <rPr>
        <sz val="10"/>
        <rFont val="Arial"/>
        <family val="0"/>
      </rPr>
      <t xml:space="preserve">   </t>
    </r>
    <r>
      <rPr>
        <b/>
        <i/>
        <sz val="12"/>
        <rFont val="Arial"/>
        <family val="2"/>
      </rPr>
      <t xml:space="preserve">Feststellung Niederstwertregelung </t>
    </r>
    <r>
      <rPr>
        <b/>
        <i/>
        <u val="single"/>
        <sz val="12"/>
        <rFont val="Arial"/>
        <family val="2"/>
      </rPr>
      <t xml:space="preserve">zum Zeitpunkt der 
</t>
    </r>
    <r>
      <rPr>
        <b/>
        <i/>
        <sz val="12"/>
        <rFont val="Arial"/>
        <family val="2"/>
      </rPr>
      <t xml:space="preserve">      </t>
    </r>
    <r>
      <rPr>
        <b/>
        <i/>
        <u val="single"/>
        <sz val="12"/>
        <rFont val="Arial"/>
        <family val="2"/>
      </rPr>
      <t>erstmaligen Antragstellung/Jahr</t>
    </r>
    <r>
      <rPr>
        <sz val="10"/>
        <rFont val="Arial"/>
        <family val="0"/>
      </rPr>
      <t xml:space="preserve"> ( § 4 Abs. 2 GesBerVO)</t>
    </r>
    <r>
      <rPr>
        <b/>
        <sz val="12"/>
        <rFont val="Arial"/>
        <family val="2"/>
      </rPr>
      <t xml:space="preserve"> 30% =</t>
    </r>
  </si>
  <si>
    <t xml:space="preserve">       Wert 07/2009 nachgetragen am 26.09.2008, gez. Ng.</t>
  </si>
  <si>
    <t>lt. GesBerVO vom 15.10.2003 in der Fassung vom 21.04.2008:</t>
  </si>
  <si>
    <t>Anlage</t>
  </si>
  <si>
    <t>Nr. 7.)</t>
  </si>
  <si>
    <t>Gilt die Übergangsregelung 07/2008 lt. § 6 Satz 3 GesBerVO mit (u.a.) 4% Gebäude-AfA?</t>
  </si>
  <si>
    <t xml:space="preserve">Monat der Inbetriebnahme   </t>
  </si>
  <si>
    <t xml:space="preserve">Jahr der Inbetriebnahme </t>
  </si>
  <si>
    <t>Gilt die Übergangsregelung 07/2008 mit (u.a.) 4% Gebäude-AfA?</t>
  </si>
  <si>
    <r>
      <t xml:space="preserve">(Die Übergangsregelung 07/2008 gilt, wenn 
- der erste Zustimmungsbescheid zwischen dem 01.08.2003 und dem 30.06.2008 erteilt wurde oder 
- die Bescheinigung nach § 9 Abs. 2 PfG NW auf Grundlage eines vor dem 01.07.2008 gestellten Antrags 
   nach § 1 Abs. 1 AllgFörderPflegeVO erteilt wurde.            </t>
    </r>
    <r>
      <rPr>
        <b/>
        <sz val="12"/>
        <rFont val="Arial"/>
        <family val="2"/>
      </rPr>
      <t>Sonst gilt 2% Gebäude-AfA.</t>
    </r>
    <r>
      <rPr>
        <sz val="12"/>
        <rFont val="Arial"/>
        <family val="2"/>
      </rPr>
      <t>)</t>
    </r>
  </si>
  <si>
    <r>
      <t>Anerkannte</t>
    </r>
    <r>
      <rPr>
        <b/>
        <sz val="12"/>
        <rFont val="Arial"/>
        <family val="2"/>
      </rPr>
      <t xml:space="preserve">, gesondert berechnungsfähige NGF </t>
    </r>
    <r>
      <rPr>
        <b/>
        <sz val="11"/>
        <rFont val="Arial"/>
        <family val="2"/>
      </rPr>
      <t xml:space="preserve"> </t>
    </r>
  </si>
  <si>
    <t>Erläuterungen: Stand 26.09.2008</t>
  </si>
  <si>
    <t>für alle Anträge einschließlich solcher lt. Übergangsregelung ab 01.07.2008 nach § 6 Satz 3 GesBerVO (vgl. ÄnderungsVO vom 21.04.2008 zur GesBerVO vom 15.10.2003)</t>
  </si>
  <si>
    <t>Ohne diese Übergangsregelung 07/2008 gilt nach der ab dem 01.07.2008 gültigen Fassung des § 4 Abs. 1 Ziffer 4 GesBerVO grds. eine 2%-ige AfA-Quote für das Gebäude mit folgender Modifikation:
Wenn der Antrag nach § 1 Abs. 1 AllgFörderPflegeVO ab dem 01.07.2008 gestellt wird, kann auf Antrag unter den Voraussetzungen des § 4 Abs. 1 Satz 7 GesBerVO ein 2%-iger AfA-Zuschlag gewährt werden. Anspruchsbegründend ist ein durchschnittlicher, jährlicher Zinssatz von bis zu 2% in einem auf 25 Jahre begrenzten Zeitraum.
Berechnungsbasis für den AfA-Zuschlag ist der Nennbetrag des zinsgünstigen Darlehens.</t>
  </si>
  <si>
    <t>Kann bei einem Darlehen mit einer Endfälligkeit im Zeitraum von bis zu 25 Jahren zwar für den ersten Zinsfestschreibungszeitraum ein Zinssatz von kleiner/gleich 2% festgeschrieben werden, und führt dann eine Anschlussverzinsung zu einer die 2% im Durchschnitt von 25 Jahren übersteigenden Durchschnittsverzinsung, wird der für die Jahre der ersten, niedrigen Zinsfestschreibung gewährte AfA-Zuschlag in Folgezeiträumen nicht zurückgefordert. Er wird zukünftig aber auch nicht weiter gewährt.</t>
  </si>
  <si>
    <t>Investitionskostenregelung für Pflegeeinrichtungen nach der GesBerVO vom 15.10.03. in der Fassung vom 21.04.08:</t>
  </si>
  <si>
    <t>2.c)</t>
  </si>
  <si>
    <t>Bei der Ermittlung der gesondert berechnungsfähigen Kosten je Tag ist i.d.R. die Auslastung des letzten abgeschlossenen Kalenderjahres zugrunde zu legen.
Die Anlage 2 dient dem Betreiber als Hilfestellung, um die Auslastung zu dokumentieren. So kann der Betreiber diese Nachweisseite bereits gemeinsam mit dem Jahresabschluss einem Steuerberater (etc.) zur Unterschrift vorlegen. Dieses schafft für die Heimträgerseite im Rahmen der Antragstellung nach § 13 Abs. 2 PfG NW später die Rechtssicherheit und Verbindlichkeit.</t>
  </si>
  <si>
    <r>
      <t xml:space="preserve">Bei Inbetriebnahme wird ein </t>
    </r>
    <r>
      <rPr>
        <b/>
        <sz val="10"/>
        <rFont val="Arial"/>
        <family val="2"/>
      </rPr>
      <t>vorläufiger Kostennachweis</t>
    </r>
    <r>
      <rPr>
        <sz val="10"/>
        <rFont val="Arial"/>
        <family val="0"/>
      </rPr>
      <t xml:space="preserve"> eingereicht, da die Schlussrechnung über die Gesamtkosten der Neubau- / Umbaumaßname noch nicht vorliegt.</t>
    </r>
  </si>
  <si>
    <t>In den Kostennachweis dürfen folgende Sachverhalte nicht aufgenommen werden:</t>
  </si>
  <si>
    <t>Grundstückskosten (Kostengruppe 100 lt. DIN 276)</t>
  </si>
  <si>
    <t>Kosten für Räumlichkeiten, die anderen Zwecken dienen</t>
  </si>
  <si>
    <t>sowie ergänzend beim Umbau in Eigentumsobjekten:</t>
  </si>
  <si>
    <t>Sonstige Kosten, die lt. baufachlicher Stellungnahme des Bau- und Liegenschafts-betriebes des Landschaftsverbandes ausdrücklich ausgeschlossen sind.</t>
  </si>
  <si>
    <r>
      <t xml:space="preserve">Grundsätzlich ist beim </t>
    </r>
    <r>
      <rPr>
        <b/>
        <sz val="10"/>
        <rFont val="Arial"/>
        <family val="2"/>
      </rPr>
      <t>ersten Folgeantrag</t>
    </r>
    <r>
      <rPr>
        <sz val="10"/>
        <rFont val="Arial"/>
        <family val="0"/>
      </rPr>
      <t xml:space="preserve"> auf Zustimmung zur gesonderten Berechnung der unterschriebene </t>
    </r>
    <r>
      <rPr>
        <b/>
        <sz val="10"/>
        <rFont val="Arial"/>
        <family val="2"/>
      </rPr>
      <t>endgültige Kostennachweis</t>
    </r>
    <r>
      <rPr>
        <sz val="10"/>
        <rFont val="Arial"/>
        <family val="0"/>
      </rPr>
      <t xml:space="preserve"> vorzulegen. Die Kosten lt. endgültigem Kostennachweis beziehen sich auf den Zeitpunkt der erstmaligen Zustimmung lt. GesBerVO vom 15.10.2003. Für weitere Folgeanträge entfällt dann die Anlage 4. Die Kosten lt. endgülti- gem Kostennachweis werden aus dem letzten Zustimmungsbescheid übernommen. 
Sollte beim ersten Folgeantrag der endgültige Kostennachweis noch nicht vorgelegt werden können, können ausnahmsweise nochmals die Kosten lt. vorläufigem Kostennachweis aus der erstmaligen Zustimmung in den Antrag übernommen werden.</t>
    </r>
  </si>
  <si>
    <t>Anhand dieser Anlage wird für den Zeitpunkt der erstmaligen Antragstellung nach § 13 Abs. 2 PfG NW für die Pflegeeinrichtung die Fortschreibungsbasis bei Gebäudeeigentum für ergänzende Mietverhältnisse festgelegt:
Die Anlage 6 ist nur beim Erstantrag und beim ersten Folgeantrag, mit dem der endgültige Kostennachweis vorgelegt wird, Bestandteil der einzureichenden Antragsunterlagen.</t>
  </si>
  <si>
    <r>
      <t xml:space="preserve">Bei Vorlage des endgültigen Kostennachweises (vgl. o.g. Anlage 4, zweiter Spiegelstrich dieser Erläuterungen) ist in der Anlage das </t>
    </r>
    <r>
      <rPr>
        <b/>
        <sz val="10"/>
        <rFont val="Arial"/>
        <family val="2"/>
      </rPr>
      <t>Erfassungsfeld "Ziffer 1.b)" einmalig</t>
    </r>
    <r>
      <rPr>
        <sz val="10"/>
        <rFont val="Arial"/>
        <family val="0"/>
      </rPr>
      <t xml:space="preserve"> auszufüllen.
Die zum Zeitpunkt des Erstantrages "damals aktuellen Inventarmieten ....." sind zu erfassen.</t>
    </r>
  </si>
  <si>
    <r>
      <t xml:space="preserve">Bei Vorlage des endgültigen Kostennachweises (vgl. o.g. Anlage 4, zweiter Spiegelstrich dieser Erläuterungen) ist in der Anlage das </t>
    </r>
    <r>
      <rPr>
        <b/>
        <sz val="10"/>
        <rFont val="Arial"/>
        <family val="2"/>
      </rPr>
      <t>Erfassungsfeld "Ziffer 1.b)" einmalig</t>
    </r>
    <r>
      <rPr>
        <sz val="10"/>
        <rFont val="Arial"/>
        <family val="0"/>
      </rPr>
      <t xml:space="preserve"> auszufüllen.
Die zum Zeitpunkt des Erstantrages "damals aktuellen Mieten ....." sind zu erfassen.</t>
    </r>
  </si>
  <si>
    <t>Generelle Hinweise zu den Antragsunterlagen:</t>
  </si>
  <si>
    <r>
      <t xml:space="preserve">Die Indexierung der Instandhaltungs- und Abschreibungsregelung im Bettenwert erfolgt erst auf der Grundlage des </t>
    </r>
    <r>
      <rPr>
        <b/>
        <sz val="10"/>
        <rFont val="Arial"/>
        <family val="2"/>
      </rPr>
      <t>endgültigen Kostennachweises</t>
    </r>
    <r>
      <rPr>
        <sz val="10"/>
        <rFont val="Arial"/>
        <family val="0"/>
      </rPr>
      <t xml:space="preserve">. </t>
    </r>
  </si>
  <si>
    <t>Der Kostennachweis ist rechtsverbindlich zu unterschreiben und als Basis für die Zukunft bindend.</t>
  </si>
  <si>
    <t>Erschließungskosten (Kostengruppe 200 lt. DIN 276)</t>
  </si>
  <si>
    <t>Kosten der "unterlassenen Instandhaltung", die lt. baufachlicher Stellungnahme des Bau- und Liegenschaftsbetriebes des Landschaftsverbandes ausdrücklich ausgeschlossen sind. (Die Kosten der "unterlassenen Instandhaltung" werden der Höhe nach konkret beziffert oder als %-Quote an den gesamten Umbaukosten benannt.)</t>
  </si>
  <si>
    <r>
      <t xml:space="preserve">Für </t>
    </r>
    <r>
      <rPr>
        <b/>
        <sz val="10"/>
        <rFont val="Arial"/>
        <family val="2"/>
      </rPr>
      <t>Folgeanträge</t>
    </r>
    <r>
      <rPr>
        <sz val="10"/>
        <rFont val="Arial"/>
        <family val="0"/>
      </rPr>
      <t xml:space="preserve"> ist der Niederstwert, d.h. die 30%-Quote der anfänglich </t>
    </r>
    <r>
      <rPr>
        <b/>
        <sz val="10"/>
        <rFont val="Arial"/>
        <family val="2"/>
      </rPr>
      <t>anerkannten</t>
    </r>
    <r>
      <rPr>
        <sz val="10"/>
        <rFont val="Arial"/>
        <family val="0"/>
      </rPr>
      <t xml:space="preserve"> Inventarmieten, als Fortschreibungsbasis aus dem letzten Zustimmungsbescheid zu übernehmen. Lediglich bei Vorlage des </t>
    </r>
    <r>
      <rPr>
        <b/>
        <sz val="10"/>
        <rFont val="Arial"/>
        <family val="2"/>
      </rPr>
      <t>endgültigen Kostennachweises</t>
    </r>
    <r>
      <rPr>
        <sz val="10"/>
        <rFont val="Arial"/>
        <family val="0"/>
      </rPr>
      <t xml:space="preserve"> erfolgt durch die Erfassung in der Anlage 6 eine abschließende Neuberechnung der anfänglich </t>
    </r>
    <r>
      <rPr>
        <sz val="10"/>
        <rFont val="Arial"/>
        <family val="2"/>
      </rPr>
      <t>anerkannten I</t>
    </r>
    <r>
      <rPr>
        <sz val="10"/>
        <rFont val="Arial"/>
        <family val="0"/>
      </rPr>
      <t>nventarmieten. "Anfänglich" bezieht sich auf den Zeitpunkt der erstmaligen Zustimmung lt. GesBerVO vom 15.10.2003.</t>
    </r>
  </si>
  <si>
    <r>
      <t xml:space="preserve">Für </t>
    </r>
    <r>
      <rPr>
        <b/>
        <sz val="10"/>
        <rFont val="Arial"/>
        <family val="2"/>
      </rPr>
      <t>Folgeanträge</t>
    </r>
    <r>
      <rPr>
        <sz val="10"/>
        <rFont val="Arial"/>
        <family val="0"/>
      </rPr>
      <t xml:space="preserve"> ist der Niederstwert, d.h. die anfänglich </t>
    </r>
    <r>
      <rPr>
        <b/>
        <sz val="10"/>
        <rFont val="Arial"/>
        <family val="2"/>
      </rPr>
      <t>anerkannte</t>
    </r>
    <r>
      <rPr>
        <sz val="10"/>
        <rFont val="Arial"/>
        <family val="0"/>
      </rPr>
      <t xml:space="preserve"> Gesamtmiete als Fortschreibungsbasis aus dem letzten Zustimmungsbescheid zu übernehmen. Lediglich bei Vorlage des </t>
    </r>
    <r>
      <rPr>
        <b/>
        <sz val="10"/>
        <rFont val="Arial"/>
        <family val="2"/>
      </rPr>
      <t>endgültigen Kostennachweises</t>
    </r>
    <r>
      <rPr>
        <sz val="10"/>
        <rFont val="Arial"/>
        <family val="0"/>
      </rPr>
      <t xml:space="preserve"> erfolgt durch die Erfassung in der Anlage 5 eine abschließende Neuberechnung der anfänglich </t>
    </r>
    <r>
      <rPr>
        <sz val="10"/>
        <rFont val="Arial"/>
        <family val="2"/>
      </rPr>
      <t xml:space="preserve">anerkannten </t>
    </r>
    <r>
      <rPr>
        <sz val="10"/>
        <rFont val="Arial"/>
        <family val="0"/>
      </rPr>
      <t>Gesamtmiete. "Anfänglich" bezieht sich auf den Zeitpunkt der erstmaligen Zustimmung lt. GesBerVO vom 15.10.2003.</t>
    </r>
  </si>
  <si>
    <t>Das Eigenkapital des Betreibers fließt an diesen über die Abschreibungsquote im Bettenwert zurück. Für das noch im Anlagevermögen gebundene Eigenkapital beträgt die Eigenkapitalrendite 4,0 %. Der Zins- und Tilgungsplan ermöglicht dem Betreiber einen Wirtschaftlichkeitsvergleich mit anderen marktüblichen Formen der Kapitalanlage.
Der aktuelle jährliche Eigenkapitalzins ist in der Anlage 1 "Verzinsung" in "Zeile 0" der Anlage in den entsprechenden Jahren einzutragen. 
Es ist daher sinnvoll, den Zins- und Tilgungsplan lt. dem ersten Zustimmungsbescheid ständig bei den aktuellen Antragsunterlagen zu behalten.</t>
  </si>
  <si>
    <t>bis</t>
  </si>
  <si>
    <t>monatlich</t>
  </si>
  <si>
    <t>Übertrag   täglich</t>
  </si>
  <si>
    <t>Mit seinem Antrag auf Zustimmung zur gesonderten Berechnung nach § 13 PfG NW vom 08.07.2003 hat der Heimträger die Grundsätze des PfG NW anerkannt. Damit sind die gesondert berechnungsfähigen betriebsnotwendigen Investitionsaufwendungen für alle Pflegebedürftigen nach einheitlichen Grundsätzen zu bemessen; eine Differenzierung nach Kostenträgern (öffentliche Kostenträger, Selbstzahler) ist unzulässig (§ 13 Abs. 1 letzter Satz PfG NW).</t>
  </si>
  <si>
    <t>Anlage Nr. 5.)</t>
  </si>
  <si>
    <t>Anlg. Nr. 3.)</t>
  </si>
  <si>
    <r>
      <t xml:space="preserve">( zu § 3 Abs. 6 GesBerVO vom </t>
    </r>
    <r>
      <rPr>
        <b/>
        <u val="single"/>
        <sz val="16"/>
        <rFont val="Arial"/>
        <family val="2"/>
      </rPr>
      <t>15.10.2003</t>
    </r>
    <r>
      <rPr>
        <b/>
        <sz val="16"/>
        <rFont val="Arial"/>
        <family val="2"/>
      </rPr>
      <t xml:space="preserve"> )</t>
    </r>
  </si>
  <si>
    <t>Inventarmieten</t>
  </si>
  <si>
    <t>(bei Gebäudeeigentum)</t>
  </si>
  <si>
    <t>Einrichtungsart § 8 Abs. 1 Pfg. NW</t>
  </si>
  <si>
    <t>Netto-Gesamtkosten</t>
  </si>
  <si>
    <t xml:space="preserve">gesondert berechnungsfähig </t>
  </si>
  <si>
    <t>täglich</t>
  </si>
  <si>
    <t xml:space="preserve"> : </t>
  </si>
  <si>
    <t xml:space="preserve"> =</t>
  </si>
  <si>
    <t xml:space="preserve"> x </t>
  </si>
  <si>
    <t>15 % (AfA 10%)</t>
  </si>
  <si>
    <t xml:space="preserve"> - </t>
  </si>
  <si>
    <t>B.)    Berechnungsmodus:</t>
  </si>
  <si>
    <r>
      <t xml:space="preserve">  a.)  </t>
    </r>
    <r>
      <rPr>
        <b/>
        <sz val="10"/>
        <rFont val="Arial"/>
        <family val="2"/>
      </rPr>
      <t>vorrangig</t>
    </r>
    <r>
      <rPr>
        <sz val="10"/>
        <rFont val="Arial"/>
        <family val="0"/>
      </rPr>
      <t xml:space="preserve"> = nachgewiesene Kosten </t>
    </r>
    <r>
      <rPr>
        <b/>
        <sz val="10"/>
        <rFont val="Arial"/>
        <family val="2"/>
      </rPr>
      <t>(Teilbettenwertberechnung)</t>
    </r>
    <r>
      <rPr>
        <sz val="10"/>
        <rFont val="Arial"/>
        <family val="0"/>
      </rPr>
      <t xml:space="preserve"> über die 15%-AfA-Quote:</t>
    </r>
  </si>
  <si>
    <t xml:space="preserve"> Anteil aus 15 % =</t>
  </si>
  <si>
    <t>Anteil aus 85 % =</t>
  </si>
  <si>
    <t>fiktive Restkosten =</t>
  </si>
  <si>
    <t xml:space="preserve">       Summe Bettenwertkomponente je Platz = rd.</t>
  </si>
  <si>
    <t>x</t>
  </si>
  <si>
    <r>
      <t xml:space="preserve"> b.b.)  Vergleichsberechnung - </t>
    </r>
    <r>
      <rPr>
        <b/>
        <sz val="10"/>
        <rFont val="Arial"/>
        <family val="2"/>
      </rPr>
      <t xml:space="preserve">Zinskomponente </t>
    </r>
    <r>
      <rPr>
        <sz val="10"/>
        <rFont val="Arial"/>
        <family val="2"/>
      </rPr>
      <t>(Durchschnittsberechnung für 25 Jahre)</t>
    </r>
    <r>
      <rPr>
        <b/>
        <sz val="10"/>
        <rFont val="Arial"/>
        <family val="2"/>
      </rPr>
      <t>:</t>
    </r>
  </si>
  <si>
    <r>
      <t xml:space="preserve"> b.a.) Vergleichsberechnung - </t>
    </r>
    <r>
      <rPr>
        <b/>
        <sz val="10"/>
        <rFont val="Arial"/>
        <family val="2"/>
      </rPr>
      <t>Bettenwertkomponente:</t>
    </r>
  </si>
  <si>
    <t xml:space="preserve">  Preisindex für Wohngebäude (Bauleistungen am</t>
  </si>
  <si>
    <t>ab</t>
  </si>
  <si>
    <t>Index</t>
  </si>
  <si>
    <r>
      <t xml:space="preserve">  </t>
    </r>
    <r>
      <rPr>
        <b/>
        <u val="single"/>
        <sz val="8"/>
        <rFont val="Arial"/>
        <family val="2"/>
      </rPr>
      <t>Bau</t>
    </r>
    <r>
      <rPr>
        <sz val="8"/>
        <rFont val="Arial"/>
        <family val="2"/>
      </rPr>
      <t>werk) in NRW, Basisjahr 1962 = 100 Punkte</t>
    </r>
  </si>
  <si>
    <t xml:space="preserve"> Mai 2003</t>
  </si>
  <si>
    <t xml:space="preserve"> Mai 2004</t>
  </si>
  <si>
    <t xml:space="preserve"> Mai 2002</t>
  </si>
  <si>
    <t xml:space="preserve"> Mai 2006</t>
  </si>
  <si>
    <t xml:space="preserve"> Mai 2008</t>
  </si>
  <si>
    <t xml:space="preserve"> Mai 2005</t>
  </si>
  <si>
    <t xml:space="preserve"> Mai 2007</t>
  </si>
  <si>
    <t xml:space="preserve"> Mai 2009</t>
  </si>
  <si>
    <t>AH oder K</t>
  </si>
  <si>
    <t>T oder N</t>
  </si>
  <si>
    <t>Einrichtungsart lt. § 8 Abs. 1 PfG. NW</t>
  </si>
  <si>
    <t>Nachtpflege</t>
  </si>
  <si>
    <r>
      <t xml:space="preserve">1.)   </t>
    </r>
    <r>
      <rPr>
        <sz val="10"/>
        <rFont val="Arial"/>
        <family val="2"/>
      </rPr>
      <t xml:space="preserve"> </t>
    </r>
    <r>
      <rPr>
        <b/>
        <sz val="10"/>
        <rFont val="Arial"/>
        <family val="2"/>
      </rPr>
      <t>fiktiver Maximalkostenrahmen je Platz</t>
    </r>
    <r>
      <rPr>
        <sz val="10"/>
        <rFont val="Arial"/>
        <family val="2"/>
      </rPr>
      <t xml:space="preserve"> (§ 3 Abs. 2 iVm. Abs. 5 GesBerVO)</t>
    </r>
  </si>
  <si>
    <r>
      <t xml:space="preserve">  b.)  </t>
    </r>
    <r>
      <rPr>
        <b/>
        <sz val="10"/>
        <color indexed="48"/>
        <rFont val="Arial"/>
        <family val="2"/>
      </rPr>
      <t>nachrangig</t>
    </r>
    <r>
      <rPr>
        <sz val="10"/>
        <rFont val="Arial"/>
        <family val="0"/>
      </rPr>
      <t xml:space="preserve"> = verbleibender Maximalkostenrahmen für </t>
    </r>
    <r>
      <rPr>
        <b/>
        <sz val="10"/>
        <color indexed="48"/>
        <rFont val="Arial"/>
        <family val="2"/>
      </rPr>
      <t>Vergleichsberechnung Eigentum bei Miete</t>
    </r>
    <r>
      <rPr>
        <sz val="10"/>
        <rFont val="Arial"/>
        <family val="0"/>
      </rPr>
      <t>:</t>
    </r>
  </si>
  <si>
    <r>
      <t xml:space="preserve">        </t>
    </r>
    <r>
      <rPr>
        <b/>
        <i/>
        <u val="single"/>
        <sz val="12"/>
        <color indexed="8"/>
        <rFont val="Arial"/>
        <family val="2"/>
      </rPr>
      <t>Vergleichsberechnung Eigentum bei Gebäudemiete</t>
    </r>
  </si>
  <si>
    <t>Zinssatz zum Erstantrags-Monat</t>
  </si>
  <si>
    <t>Tilgungssatz zum Erstantrags-Monat</t>
  </si>
  <si>
    <t>Schlusszeile für S-Verweis</t>
  </si>
  <si>
    <t>Beginn</t>
  </si>
  <si>
    <t xml:space="preserve">Höhe bei </t>
  </si>
  <si>
    <t>Höhe des</t>
  </si>
  <si>
    <t>Zins-</t>
  </si>
  <si>
    <t>Jährlicher</t>
  </si>
  <si>
    <t>Tilgungs-</t>
  </si>
  <si>
    <t>Annuität</t>
  </si>
  <si>
    <t>satz</t>
  </si>
  <si>
    <t>Zinsbetrag</t>
  </si>
  <si>
    <t>Tilgungssatz</t>
  </si>
  <si>
    <t>31.12. des Jahres</t>
  </si>
  <si>
    <t>%</t>
  </si>
  <si>
    <t>Euro</t>
  </si>
  <si>
    <t>Jahresdurchschnitt</t>
  </si>
  <si>
    <t>Aufnahme</t>
  </si>
  <si>
    <t>Restkapitals am</t>
  </si>
  <si>
    <t>Platzzahl lt. Versorgungsvertrag</t>
  </si>
  <si>
    <r>
      <t>nachrichtlich:</t>
    </r>
    <r>
      <rPr>
        <sz val="9"/>
        <rFont val="Arial MT"/>
        <family val="0"/>
      </rPr>
      <t xml:space="preserve"> Zinsen</t>
    </r>
    <r>
      <rPr>
        <sz val="9"/>
        <rFont val="Arial"/>
        <family val="2"/>
      </rPr>
      <t xml:space="preserve"> in 25 Jahren   =</t>
    </r>
  </si>
  <si>
    <t>Zinssätze § 4 Abs. 2 GesBerVO</t>
  </si>
  <si>
    <t>A.)    Datenerfassung:</t>
  </si>
  <si>
    <t>siehe Anlage Zins- u. Tilgungsplan:</t>
  </si>
  <si>
    <r>
      <t xml:space="preserve"> </t>
    </r>
    <r>
      <rPr>
        <sz val="10"/>
        <rFont val="Arial"/>
        <family val="2"/>
      </rPr>
      <t xml:space="preserve">c.)  </t>
    </r>
    <r>
      <rPr>
        <b/>
        <sz val="10"/>
        <rFont val="Arial"/>
        <family val="2"/>
      </rPr>
      <t xml:space="preserve"> </t>
    </r>
    <r>
      <rPr>
        <b/>
        <sz val="12"/>
        <rFont val="Arial"/>
        <family val="2"/>
      </rPr>
      <t xml:space="preserve">Summe </t>
    </r>
    <r>
      <rPr>
        <b/>
        <i/>
        <sz val="12"/>
        <rFont val="Arial"/>
        <family val="2"/>
      </rPr>
      <t>Vergleichsberechnung Eigentum bei Miete  =</t>
    </r>
  </si>
  <si>
    <t xml:space="preserve"> - - -</t>
  </si>
  <si>
    <t>10 % AfA</t>
  </si>
  <si>
    <t>1 % Inst</t>
  </si>
  <si>
    <r>
      <t>2.)    Kostenverteilung</t>
    </r>
    <r>
      <rPr>
        <sz val="10"/>
        <rFont val="Arial"/>
        <family val="0"/>
      </rPr>
      <t xml:space="preserve"> auf die "Teilbettenwertberechnung" bzw. die "Vergleichsberechnung Eigentum bei Miete"</t>
    </r>
  </si>
  <si>
    <r>
      <t xml:space="preserve">gesamte Nettogrundfläche(NGF) nach DIN 277 </t>
    </r>
    <r>
      <rPr>
        <b/>
        <sz val="10"/>
        <rFont val="Arial"/>
        <family val="2"/>
      </rPr>
      <t>der Pflegeeinrichtung</t>
    </r>
  </si>
  <si>
    <r>
      <t xml:space="preserve">1.)   </t>
    </r>
    <r>
      <rPr>
        <sz val="10"/>
        <rFont val="Arial"/>
        <family val="2"/>
      </rPr>
      <t xml:space="preserve"> </t>
    </r>
    <r>
      <rPr>
        <b/>
        <sz val="10"/>
        <rFont val="Arial"/>
        <family val="2"/>
      </rPr>
      <t>fiktiver Maximalkostenrahmen je Platz</t>
    </r>
    <r>
      <rPr>
        <sz val="10"/>
        <rFont val="Arial"/>
        <family val="2"/>
      </rPr>
      <t xml:space="preserve"> (§ 3 Abs. 2 iVm. Abs. 5 GesBerVO) </t>
    </r>
    <r>
      <rPr>
        <b/>
        <sz val="10"/>
        <rFont val="Arial"/>
        <family val="2"/>
      </rPr>
      <t>im Bettenwert bereits enthalten:</t>
    </r>
  </si>
  <si>
    <t>SUMME =</t>
  </si>
  <si>
    <r>
      <t xml:space="preserve">3.)    Differenz </t>
    </r>
    <r>
      <rPr>
        <sz val="10"/>
        <rFont val="Arial"/>
        <family val="2"/>
      </rPr>
      <t>( = nicht ausgeschöpfter Maximalkostenrahmen für Inventar)</t>
    </r>
  </si>
  <si>
    <t>Hinweis:</t>
  </si>
  <si>
    <r>
      <t>4.)</t>
    </r>
    <r>
      <rPr>
        <sz val="12"/>
        <color indexed="8"/>
        <rFont val="Arial"/>
        <family val="2"/>
      </rPr>
      <t xml:space="preserve">        </t>
    </r>
    <r>
      <rPr>
        <b/>
        <i/>
        <u val="single"/>
        <sz val="12"/>
        <color indexed="8"/>
        <rFont val="Arial"/>
        <family val="2"/>
      </rPr>
      <t>Vergleichsberechnung Eigentum bei (nur) Inventarmiete:</t>
    </r>
  </si>
  <si>
    <r>
      <t xml:space="preserve">Vergleichsberechnung - </t>
    </r>
    <r>
      <rPr>
        <b/>
        <sz val="10"/>
        <rFont val="Arial"/>
        <family val="2"/>
      </rPr>
      <t xml:space="preserve">Zinskomponente </t>
    </r>
    <r>
      <rPr>
        <sz val="10"/>
        <rFont val="Arial"/>
        <family val="2"/>
      </rPr>
      <t>(Durchschnittsberechnung für 25 Jahre)</t>
    </r>
    <r>
      <rPr>
        <b/>
        <sz val="10"/>
        <rFont val="Arial"/>
        <family val="2"/>
      </rPr>
      <t>:</t>
    </r>
  </si>
  <si>
    <t xml:space="preserve">nicht ausgeschöpfter Maximalkostenrahmen für Inventar = </t>
  </si>
  <si>
    <t xml:space="preserve">Zinssatz zum Erstantrags-Monat </t>
  </si>
  <si>
    <t xml:space="preserve">Tilgungssatz zum Erstantrags-Monat </t>
  </si>
  <si>
    <r>
      <t xml:space="preserve">5.)    </t>
    </r>
    <r>
      <rPr>
        <b/>
        <sz val="12"/>
        <rFont val="Arial"/>
        <family val="2"/>
      </rPr>
      <t>Inventarmiete bei Inbetriebnahme/Jahr</t>
    </r>
  </si>
  <si>
    <t>- 70% Bettenwert =</t>
  </si>
  <si>
    <r>
      <t xml:space="preserve">   FN </t>
    </r>
    <r>
      <rPr>
        <b/>
        <sz val="10"/>
        <rFont val="Wingdings"/>
        <family val="0"/>
      </rPr>
      <t>u</t>
    </r>
    <r>
      <rPr>
        <b/>
        <sz val="10"/>
        <rFont val="Arial"/>
        <family val="2"/>
      </rPr>
      <t>1 s.o.:</t>
    </r>
  </si>
  <si>
    <t xml:space="preserve">Inventarkosten z.B. je 1.000 € = </t>
  </si>
  <si>
    <t xml:space="preserve">Durchschnittszins =  </t>
  </si>
  <si>
    <t xml:space="preserve">1% Inst. + 10% AfA =  </t>
  </si>
  <si>
    <t xml:space="preserve"> </t>
  </si>
  <si>
    <t>Name und Anschrift der Pflegeeinrichtung</t>
  </si>
  <si>
    <t xml:space="preserve">Aktenzeichen der Landesbehörde: </t>
  </si>
  <si>
    <t>Einrichtung</t>
  </si>
  <si>
    <t>lfd.
Nr.</t>
  </si>
  <si>
    <t>Tag der
Auf-
nahme</t>
  </si>
  <si>
    <t>Kreditgeber</t>
  </si>
  <si>
    <t>Zweckbe-
stimmung</t>
  </si>
  <si>
    <t>Verwal-
tungs-
kosten-
satz
%</t>
  </si>
  <si>
    <t>Til-
gungs-
satz
%</t>
  </si>
  <si>
    <t>-  0  -</t>
  </si>
  <si>
    <r>
      <t xml:space="preserve">Eigenkapital (lt. </t>
    </r>
    <r>
      <rPr>
        <b/>
        <sz val="16"/>
        <color indexed="12"/>
        <rFont val="Arial"/>
        <family val="2"/>
      </rPr>
      <t>anerkanntem</t>
    </r>
    <r>
      <rPr>
        <b/>
        <sz val="16"/>
        <color indexed="8"/>
        <rFont val="Arial"/>
        <family val="2"/>
      </rPr>
      <t xml:space="preserve"> Zins-</t>
    </r>
  </si>
  <si>
    <r>
      <t xml:space="preserve">und Tilgungsplan; </t>
    </r>
    <r>
      <rPr>
        <sz val="14"/>
        <rFont val="Arial"/>
        <family val="2"/>
      </rPr>
      <t>ggfls. vgl. Anlage</t>
    </r>
    <r>
      <rPr>
        <sz val="16"/>
        <rFont val="Arial"/>
        <family val="2"/>
      </rPr>
      <t xml:space="preserve"> </t>
    </r>
    <r>
      <rPr>
        <b/>
        <sz val="16"/>
        <rFont val="Arial"/>
        <family val="2"/>
      </rPr>
      <t>)</t>
    </r>
  </si>
  <si>
    <t>Summe</t>
  </si>
  <si>
    <t>zu</t>
  </si>
  <si>
    <r>
      <t xml:space="preserve">    Euro     |   oder  %</t>
    </r>
    <r>
      <rPr>
        <b/>
        <sz val="14"/>
        <rFont val="Arial"/>
        <family val="2"/>
      </rPr>
      <t xml:space="preserve">          
bei Aufnahme</t>
    </r>
  </si>
  <si>
    <t xml:space="preserve">  NETTO - Zinsansatz;   SUMME</t>
  </si>
  <si>
    <t>( * ) Bestätigung des Steuerberaters oder Wirtschaftsprüfers</t>
  </si>
  <si>
    <t>bzw. des Spitzenverbandes der Freien Wohlfahrtspflege,</t>
  </si>
  <si>
    <t>des BPA, des VDAB oder der Kommune</t>
  </si>
  <si>
    <t>zu den Spalten 7, 9, 11 und 12 ab Zeile 1 der Tabelle:</t>
  </si>
  <si>
    <t>Für die Richtigkeit der Angaben:</t>
  </si>
  <si>
    <t>durch Belege bzw. lt. Buchhaltung nachgewiesen.</t>
  </si>
  <si>
    <t>Unterschrift des Steuerberaters oder Wirtschaftsprüfers, des Verbandes oder der Kommune</t>
  </si>
  <si>
    <t>Pflegeeinrichtung:</t>
  </si>
  <si>
    <t>Name und Anschrift der Einrichtung</t>
  </si>
  <si>
    <t>Inbetriebnahme-</t>
  </si>
  <si>
    <t>Monat ab 1-12</t>
  </si>
  <si>
    <t>Mon./Aufnahme</t>
  </si>
  <si>
    <t>fester Tilgungsbetrag</t>
  </si>
  <si>
    <t>Jahr</t>
  </si>
  <si>
    <r>
      <t xml:space="preserve">bzw. 1.1.d.J; </t>
    </r>
    <r>
      <rPr>
        <b/>
        <sz val="14"/>
        <color indexed="12"/>
        <rFont val="Arial MT"/>
        <family val="0"/>
      </rPr>
      <t>Euro</t>
    </r>
  </si>
  <si>
    <t>Name und Anschrift der Pflegeeinrichtung:</t>
  </si>
  <si>
    <t>Aktenzeichen der Behörde nach § 13 Abs. 2 PfG NW:</t>
  </si>
  <si>
    <t>Diese Anlage ist nur auszufüllen von:</t>
  </si>
  <si>
    <t>aktuelle Platzzahl lt. Versorgungsvertrag</t>
  </si>
  <si>
    <r>
      <t xml:space="preserve">hier  Einrichtungsart: </t>
    </r>
    <r>
      <rPr>
        <sz val="14"/>
        <rFont val="Arial"/>
        <family val="2"/>
      </rPr>
      <t xml:space="preserve">(bitte nur </t>
    </r>
    <r>
      <rPr>
        <u val="single"/>
        <sz val="14"/>
        <rFont val="Arial"/>
        <family val="2"/>
      </rPr>
      <t>eine</t>
    </r>
    <r>
      <rPr>
        <sz val="14"/>
        <rFont val="Arial"/>
        <family val="2"/>
      </rPr>
      <t xml:space="preserve"> Einrichtungsart ankreuzen)</t>
    </r>
  </si>
  <si>
    <t xml:space="preserve">  Kurzzeitpflegeeinrichtung</t>
  </si>
  <si>
    <t xml:space="preserve">  Tagespflegeeinrichtung</t>
  </si>
  <si>
    <t xml:space="preserve">  Nachtpflegeeinrichtung</t>
  </si>
  <si>
    <t>des BPA, des VDAB oder der Kommune:</t>
  </si>
  <si>
    <t>Die Pflegetage (Anwesenheitstage) sind durch Belege bzw. lt. Buchhaltung nachgewiesen:</t>
  </si>
  <si>
    <t>Träger der Pflegeeinrichtung</t>
  </si>
  <si>
    <t>nachrichtlich:</t>
  </si>
  <si>
    <t>Auf der Grundlage der nachgewiesenen Anwesenheitstage ergibt sich für o.g. Pflegeeinrichtung folgende Auslastungsquote:</t>
  </si>
  <si>
    <r>
      <t>Hinweis</t>
    </r>
    <r>
      <rPr>
        <sz val="11"/>
        <rFont val="Arial"/>
        <family val="2"/>
      </rPr>
      <t xml:space="preserve"> für</t>
    </r>
  </si>
  <si>
    <t>Tagespflege u.</t>
  </si>
  <si>
    <t xml:space="preserve">Az. der Behörde nach § 13 (2) PfG NW: </t>
  </si>
  <si>
    <t xml:space="preserve">hier: </t>
  </si>
  <si>
    <t>1)</t>
  </si>
  <si>
    <t>Einrichtung, PLZ, Ort, Straße</t>
  </si>
  <si>
    <t>Anschrift des Trägers</t>
  </si>
  <si>
    <t>Träger, PLZ, Ort, Straße</t>
  </si>
  <si>
    <t xml:space="preserve">hier:  Antrag auf Neuregelung ab dem: </t>
  </si>
  <si>
    <t xml:space="preserve">bis zum: </t>
  </si>
  <si>
    <t>Name und Anschrift des Trägers</t>
  </si>
  <si>
    <t>Art der Einrichtung ( § 8 PfG NW )</t>
  </si>
  <si>
    <t>Datum der Inbetriebnahme</t>
  </si>
  <si>
    <t>Folgende Kosten sind in dieser Summe nicht enthalten</t>
  </si>
  <si>
    <t xml:space="preserve"> -</t>
  </si>
  <si>
    <t>Kosten für Räumlichkeiten, die anderen Zwecken als der o.g. Art der Einrichtung dienen</t>
  </si>
  <si>
    <t>Kosten der Kostengruppe 100/200 lt. DIN 276 (Grundstück/Herrichten und Erschließen)</t>
  </si>
  <si>
    <r>
      <t xml:space="preserve">vorläufiger Kostennachweis </t>
    </r>
    <r>
      <rPr>
        <b/>
        <vertAlign val="superscript"/>
        <sz val="14"/>
        <rFont val="Arial"/>
        <family val="2"/>
      </rPr>
      <t>1)</t>
    </r>
  </si>
  <si>
    <t>Unterschrift des Trägers der Pflegeeinrichtung</t>
  </si>
  <si>
    <t>Unterschrift des Wirtschaftsprüfers / Steuerberaters / Spitzen- / Interessenverbandes</t>
  </si>
  <si>
    <t xml:space="preserve">1)  </t>
  </si>
  <si>
    <t xml:space="preserve">AH + K </t>
  </si>
  <si>
    <t>T + N</t>
  </si>
  <si>
    <t>Bauindex</t>
  </si>
  <si>
    <t>Az.:</t>
  </si>
  <si>
    <t xml:space="preserve">Verbraucherpreis </t>
  </si>
  <si>
    <t xml:space="preserve">Index 2000 = 100 </t>
  </si>
  <si>
    <t xml:space="preserve"> Wohngebäude</t>
  </si>
  <si>
    <t xml:space="preserve"> Index 1962 = 100</t>
  </si>
  <si>
    <t>je Pflegeplatz</t>
  </si>
  <si>
    <t>Mehrbettzimmer</t>
  </si>
  <si>
    <t>Einbettzimmer</t>
  </si>
  <si>
    <t>AH + K</t>
  </si>
  <si>
    <t>Max-Kosten Euro je qm/NGF</t>
  </si>
  <si>
    <t>Wohngebäude, Index
alle 2 Jahre               jährlich</t>
  </si>
  <si>
    <t>Preisindex
alle 2 Jahre</t>
  </si>
  <si>
    <t xml:space="preserve">Az.:  </t>
  </si>
  <si>
    <t>Blatt - 2 -</t>
  </si>
  <si>
    <t>Blatt  - 1 -</t>
  </si>
  <si>
    <t xml:space="preserve">     Name und Anschrift der Einrichtung:</t>
  </si>
  <si>
    <t>Kostenrahmen</t>
  </si>
  <si>
    <t>Verbraucherindex</t>
  </si>
  <si>
    <t>zu 10.)   abzüglich sonstige Erträge</t>
  </si>
  <si>
    <t>Brutto-Gesamtkosten</t>
  </si>
  <si>
    <r>
      <t xml:space="preserve">sonstige Verrechnungen          </t>
    </r>
    <r>
      <rPr>
        <b/>
        <sz val="9"/>
        <rFont val="Arial"/>
        <family val="2"/>
      </rPr>
      <t xml:space="preserve"> </t>
    </r>
    <r>
      <rPr>
        <sz val="9"/>
        <rFont val="Arial"/>
        <family val="2"/>
      </rPr>
      <t>( +/- ...Euro)</t>
    </r>
  </si>
  <si>
    <t>Erläuterungen:</t>
  </si>
  <si>
    <t>Im Anhang zuletzt erfasster Mai-Index für:</t>
  </si>
  <si>
    <t>Gebäudemiete:</t>
  </si>
  <si>
    <t>(ggfls. zuzüglich Inventarmieten)</t>
  </si>
  <si>
    <t>Anlage Nr. 6.)</t>
  </si>
  <si>
    <r>
      <t>zu Anlage Nr. 6.)</t>
    </r>
    <r>
      <rPr>
        <b/>
        <sz val="13"/>
        <rFont val="Arial"/>
        <family val="2"/>
      </rPr>
      <t xml:space="preserve">  Ziffer 4.) Vergleichsberechnung Eigentum bei (nur) Inventarmiete:
nachrichtlich: Zins- und Tilgungsplan zur Durchschnittsverzinsung in 25 Jahren </t>
    </r>
  </si>
  <si>
    <r>
      <t>Zu Anlage Nr. 5.)</t>
    </r>
    <r>
      <rPr>
        <b/>
        <sz val="13"/>
        <rFont val="Arial"/>
        <family val="2"/>
      </rPr>
      <t xml:space="preserve"> Ziffer 2.b.b.) Vergleichsberechnung Eigentum bei Gebäudemiete
nachrichtlich:  Zins- und Tilgungsplan zur Durchschnittsverzinsung in 25 Jahren </t>
    </r>
  </si>
  <si>
    <t>3)</t>
  </si>
  <si>
    <t>4.a)</t>
  </si>
  <si>
    <t>4.b)</t>
  </si>
  <si>
    <t>Tatsächliche Nettogrundfläche (NGF) der Pflegeeinrichtung</t>
  </si>
  <si>
    <t>6.a)</t>
  </si>
  <si>
    <t>6.b)</t>
  </si>
  <si>
    <t>7)</t>
  </si>
  <si>
    <t>7.a)</t>
  </si>
  <si>
    <t>7.b)</t>
  </si>
  <si>
    <t>8)</t>
  </si>
  <si>
    <t>8.a)</t>
  </si>
  <si>
    <t>8.b)</t>
  </si>
  <si>
    <t>9)</t>
  </si>
  <si>
    <t>9.a)</t>
  </si>
  <si>
    <t>9.a.a)</t>
  </si>
  <si>
    <t>9.a.b)</t>
  </si>
  <si>
    <t>9.b)</t>
  </si>
  <si>
    <t>9.b.b)</t>
  </si>
  <si>
    <t>9.b.a)</t>
  </si>
  <si>
    <t>9.c)</t>
  </si>
  <si>
    <t>10)</t>
  </si>
  <si>
    <t>11)</t>
  </si>
  <si>
    <t>11.a)</t>
  </si>
  <si>
    <t>11.b)</t>
  </si>
  <si>
    <t>Mit seinem Antrag auf Zustimmung zur gesonderten Berechnung nach § 13 PfG NW vom 08.07.2003 erkennt der Heimträger die Grundsätze des PfG NW an. Dabei sind die gesondert berechnungsfähigen betriebsnotwendigen Investitionsaufwendungen für alle Pflegebedürftigen nach einheitlichen Grundsätzen zu bemessen; eine Differenzierung nach Kostenträgern (öffentliche Kostenträger, Selbstzahler) ist unzulässig (§ 13 Abs. 1 letzter Satz PfG NW).</t>
  </si>
  <si>
    <t>Ort, Datum</t>
  </si>
  <si>
    <t>Für die Richtigkeit der Angaben</t>
  </si>
  <si>
    <t>Unterschrift</t>
  </si>
  <si>
    <t>des Trägers / der Einrichtung</t>
  </si>
  <si>
    <t>Sichtvermerk</t>
  </si>
  <si>
    <t>des Spitzenverbandes</t>
  </si>
  <si>
    <r>
      <t xml:space="preserve">( Auf der Anlage Verzinsung und der Anlage Auslastung (T-N-K)) ist </t>
    </r>
    <r>
      <rPr>
        <b/>
        <u val="single"/>
        <sz val="11"/>
        <rFont val="Arial"/>
        <family val="2"/>
      </rPr>
      <t>zusätzlich</t>
    </r>
    <r>
      <rPr>
        <sz val="11"/>
        <rFont val="Arial"/>
        <family val="2"/>
      </rPr>
      <t xml:space="preserve"> die Bestätigung erforderlich)</t>
    </r>
  </si>
  <si>
    <r>
      <t>Einrichtungsart</t>
    </r>
    <r>
      <rPr>
        <b/>
        <sz val="14"/>
        <rFont val="Arial"/>
        <family val="2"/>
      </rPr>
      <t xml:space="preserve"> </t>
    </r>
    <r>
      <rPr>
        <b/>
        <sz val="12"/>
        <rFont val="Arial"/>
        <family val="2"/>
      </rPr>
      <t>( § 8 PfG NW )</t>
    </r>
  </si>
  <si>
    <t xml:space="preserve"> Mai 2010</t>
  </si>
  <si>
    <t xml:space="preserve"> Mai 2011</t>
  </si>
  <si>
    <t xml:space="preserve"> Mai 2012</t>
  </si>
  <si>
    <t xml:space="preserve"> Mai 2013</t>
  </si>
  <si>
    <t xml:space="preserve"> Mai 2014</t>
  </si>
  <si>
    <r>
      <t xml:space="preserve">berechnungsrelevante NGF </t>
    </r>
    <r>
      <rPr>
        <b/>
        <sz val="10"/>
        <rFont val="Arial"/>
        <family val="2"/>
      </rPr>
      <t>der Einrichtung</t>
    </r>
    <r>
      <rPr>
        <sz val="10"/>
        <rFont val="Arial"/>
        <family val="0"/>
      </rPr>
      <t xml:space="preserve"> (§ 9 Abs 2 oder § 17 Abs. 3 PfG NW)</t>
    </r>
  </si>
  <si>
    <t>Höhe bei
Aufnahme
Euro</t>
  </si>
  <si>
    <t xml:space="preserve">zum  Antrags-/ Abfragebogen ab: </t>
  </si>
  <si>
    <r>
      <t xml:space="preserve">  Rot-Absetzung</t>
    </r>
    <r>
      <rPr>
        <b/>
        <sz val="11"/>
        <color indexed="10"/>
        <rFont val="Arial"/>
        <family val="2"/>
      </rPr>
      <t xml:space="preserve">   </t>
    </r>
    <r>
      <rPr>
        <sz val="14"/>
        <color indexed="10"/>
        <rFont val="Arial"/>
        <family val="2"/>
      </rPr>
      <t>( von Darlehensanteilen, die nicht anerkannt sind oder einem sonstigen Zwecke dienen: )</t>
    </r>
  </si>
  <si>
    <t>zum  Antrags-/Abfragebogen ab:</t>
  </si>
  <si>
    <r>
      <t>Tages-, Nacht- und Kurzzeitpflegeeinrichtungen</t>
    </r>
    <r>
      <rPr>
        <b/>
        <sz val="16"/>
        <color indexed="48"/>
        <rFont val="Arial"/>
        <family val="2"/>
      </rPr>
      <t>,</t>
    </r>
    <r>
      <rPr>
        <b/>
        <sz val="16"/>
        <color indexed="8"/>
        <rFont val="Arial"/>
        <family val="2"/>
      </rPr>
      <t xml:space="preserve"> </t>
    </r>
  </si>
  <si>
    <r>
      <t>Platzzahl lt. Versorgungsvertrag</t>
    </r>
    <r>
      <rPr>
        <sz val="10"/>
        <rFont val="Arial"/>
        <family val="2"/>
      </rPr>
      <t xml:space="preserve"> </t>
    </r>
  </si>
  <si>
    <t xml:space="preserve">(§ 3 Abs. 2 Satz 2 u. Abs. 3 GesBerVO) </t>
  </si>
  <si>
    <r>
      <t xml:space="preserve">3.) </t>
    </r>
    <r>
      <rPr>
        <sz val="10"/>
        <rFont val="Arial"/>
        <family val="0"/>
      </rPr>
      <t xml:space="preserve">   </t>
    </r>
    <r>
      <rPr>
        <b/>
        <sz val="10"/>
        <rFont val="Arial"/>
        <family val="2"/>
      </rPr>
      <t>Einrichtungsart</t>
    </r>
    <r>
      <rPr>
        <sz val="10"/>
        <rFont val="Arial"/>
        <family val="0"/>
      </rPr>
      <t xml:space="preserve"> lt. § 8 Abs. 1 PfG. NW</t>
    </r>
  </si>
  <si>
    <r>
      <t>6.a.)</t>
    </r>
    <r>
      <rPr>
        <sz val="10"/>
        <rFont val="Arial"/>
        <family val="0"/>
      </rPr>
      <t xml:space="preserve"> </t>
    </r>
    <r>
      <rPr>
        <b/>
        <sz val="10"/>
        <rFont val="Arial"/>
        <family val="2"/>
      </rPr>
      <t>Tatsächliche</t>
    </r>
    <r>
      <rPr>
        <sz val="10"/>
        <rFont val="Arial"/>
        <family val="0"/>
      </rPr>
      <t xml:space="preserve"> Nettogrundfläche (NGF); gesamt</t>
    </r>
  </si>
  <si>
    <r>
      <t xml:space="preserve">   b.)</t>
    </r>
    <r>
      <rPr>
        <sz val="10"/>
        <rFont val="Arial"/>
        <family val="0"/>
      </rPr>
      <t xml:space="preserve"> </t>
    </r>
    <r>
      <rPr>
        <b/>
        <u val="double"/>
        <sz val="10"/>
        <rFont val="Arial"/>
        <family val="2"/>
      </rPr>
      <t>Anerkannte</t>
    </r>
    <r>
      <rPr>
        <sz val="10"/>
        <rFont val="Arial"/>
        <family val="0"/>
      </rPr>
      <t>, gesondert berechnungsfähige NGF; gesamt</t>
    </r>
  </si>
  <si>
    <r>
      <t>10.)</t>
    </r>
    <r>
      <rPr>
        <sz val="10"/>
        <rFont val="Arial"/>
        <family val="0"/>
      </rPr>
      <t xml:space="preserve">   </t>
    </r>
    <r>
      <rPr>
        <b/>
        <sz val="10"/>
        <rFont val="Arial"/>
        <family val="2"/>
      </rPr>
      <t>Erträge</t>
    </r>
    <r>
      <rPr>
        <sz val="10"/>
        <rFont val="Arial"/>
        <family val="0"/>
      </rPr>
      <t xml:space="preserve"> aus Fremdnutzungen von Gebäudeteilen</t>
    </r>
  </si>
  <si>
    <t>12.)      Berechnungsmodus Bettenwert und Miete:</t>
  </si>
  <si>
    <r>
      <t xml:space="preserve">Zeitpunkt der erstmaligen </t>
    </r>
    <r>
      <rPr>
        <u val="single"/>
        <sz val="10"/>
        <rFont val="Arial"/>
        <family val="2"/>
      </rPr>
      <t>Zustimmung</t>
    </r>
    <r>
      <rPr>
        <sz val="10"/>
        <rFont val="Arial"/>
        <family val="0"/>
      </rPr>
      <t xml:space="preserve"> lt. GesBerVO vom 15.10.2003</t>
    </r>
  </si>
  <si>
    <t>Pflegeeinrichtung, PLZ, Ort, Straße</t>
  </si>
  <si>
    <t>Liegt die Bescheinigung des örtl. Trägers der Sozialhilfe lt. § 9 Abs. 2 PfG NW vor ?</t>
  </si>
  <si>
    <r>
      <t xml:space="preserve">1.)    Regelung gemäß § 13 Abs. 2 PfG NW  </t>
    </r>
    <r>
      <rPr>
        <b/>
        <sz val="16"/>
        <rFont val="Arial"/>
        <family val="2"/>
      </rPr>
      <t>ab dem</t>
    </r>
  </si>
  <si>
    <r>
      <t xml:space="preserve">          Fortschreibung Bauindex</t>
    </r>
    <r>
      <rPr>
        <i/>
        <sz val="9"/>
        <rFont val="Arial"/>
        <family val="2"/>
      </rPr>
      <t xml:space="preserve"> (Effekt 100%)</t>
    </r>
  </si>
  <si>
    <t>Beispiel AH oder K</t>
  </si>
  <si>
    <t>Beispiel T oder N</t>
  </si>
  <si>
    <t>Bei-spiel</t>
  </si>
  <si>
    <t>Datum</t>
  </si>
  <si>
    <t>100% =</t>
  </si>
  <si>
    <t xml:space="preserve">        ( nachrichtlich: 100% = Summe der anerkannten Inventarmietverträge
         bei Inbetriebnahme )</t>
  </si>
  <si>
    <t>Eigentum</t>
  </si>
  <si>
    <t>Miete</t>
  </si>
  <si>
    <t>Gebäude</t>
  </si>
  <si>
    <t>Inventar</t>
  </si>
  <si>
    <t>8.a.a)</t>
  </si>
  <si>
    <t>8.a.b)</t>
  </si>
  <si>
    <t>8.b.a)</t>
  </si>
  <si>
    <t>8.b.b)</t>
  </si>
  <si>
    <t>Handelt es sich hier um einen Erstantrag?   / um einen Folgeantrag?</t>
  </si>
  <si>
    <t>Inbetriebnahme</t>
  </si>
  <si>
    <t>Jahresindex</t>
  </si>
  <si>
    <t>als</t>
  </si>
  <si>
    <t xml:space="preserve">    vgl. § 2 Abs. 3 GesBerVO</t>
  </si>
  <si>
    <t>1.a)</t>
  </si>
  <si>
    <t>1.b)</t>
  </si>
  <si>
    <t>1.c)</t>
  </si>
  <si>
    <t>"Prozentsätze" siehe Tabellen</t>
  </si>
  <si>
    <t>Vergleichsberechnung Eigentum</t>
  </si>
  <si>
    <t>bei Miete für:</t>
  </si>
  <si>
    <t>- vollstat. Pflege</t>
  </si>
  <si>
    <t>- Kurzzeitpflege</t>
  </si>
  <si>
    <t>- Tages-/Nachtpfl.</t>
  </si>
  <si>
    <t>des Vorjahres</t>
  </si>
  <si>
    <t>= Mai-Index</t>
  </si>
  <si>
    <t xml:space="preserve">  Anwesenheitstage im Nachweiszeitraum</t>
  </si>
  <si>
    <t>Bestätigung des Steuerberaters oder Wirtschaftsprüfers</t>
  </si>
  <si>
    <t xml:space="preserve">    (Weitergeltung der Grund-</t>
  </si>
  <si>
    <t xml:space="preserve">     lagen lt. Erstantrag)</t>
  </si>
  <si>
    <t>nach der GesBerVO je Gebäude sind festzustellen:</t>
  </si>
  <si>
    <t>letzte Zinsberechnung im Anhang für</t>
  </si>
  <si>
    <t>Die Eigentumsverhältnisse zu Beginn der Neuregelung</t>
  </si>
  <si>
    <r>
      <t xml:space="preserve">3.)    </t>
    </r>
    <r>
      <rPr>
        <b/>
        <sz val="12"/>
        <rFont val="Arial"/>
        <family val="2"/>
      </rPr>
      <t>Gesamtmiete pro Jahr zum Zeitpunkt des Erstantrags</t>
    </r>
  </si>
  <si>
    <t>1.)    Mietverträge:  Anfängliche Gesamtmiete pro Jahr (Gebäude zuzügl. ggfls. Inventarmiete)</t>
  </si>
  <si>
    <t xml:space="preserve">[Bei Platzzahländerungen bitte geänderten Versorgungsvertrag beifügen.] </t>
  </si>
  <si>
    <t xml:space="preserve">       der Neuregelung je Gebäude:</t>
  </si>
  <si>
    <t xml:space="preserve">       Eigentumsverhältnisse zu Beginn</t>
  </si>
  <si>
    <t>8.)    Basis für die Fortschreibung:</t>
  </si>
  <si>
    <t xml:space="preserve">          Fortschreibung Verbraucherpreisindex       (Effekt 100%)</t>
  </si>
  <si>
    <t>anfänglich anerkannte Gesamtmiete  =</t>
  </si>
  <si>
    <t>Bei 5-Tage-Einrichtung = 365 - 52 - 52 - 11(sonst.) = 250 Tage/Jahr; d.h. je wöchentl. Öffnungstag = 50 Tage/Jahr und zwischen 5 und 7 wöchentl. Öffnungstagen = entsprechend anteilig. Bei 7-Tage-Einrichtung = 365 Tage/Jahr. Die gesetzlich relevante Auslastungsquote regelt sich nach § 3 Abs. 6 GesBerVO vom 15.10.2003.</t>
  </si>
  <si>
    <t xml:space="preserve">         (vgl. § 2 Abs. 3 GesBerVO ;  Weitergeltung der Grundlagen lt. Erstantrag)</t>
  </si>
  <si>
    <r>
      <t xml:space="preserve">Zeitpunkt der erstmaligen </t>
    </r>
    <r>
      <rPr>
        <u val="single"/>
        <sz val="10"/>
        <rFont val="Arial"/>
        <family val="2"/>
      </rPr>
      <t>Zustimmung</t>
    </r>
    <r>
      <rPr>
        <sz val="10"/>
        <rFont val="Arial"/>
        <family val="2"/>
      </rPr>
      <t xml:space="preserve"> </t>
    </r>
    <r>
      <rPr>
        <sz val="10"/>
        <rFont val="Arial"/>
        <family val="0"/>
      </rPr>
      <t xml:space="preserve"> lt. GesBerVO vom 15.10.2003</t>
    </r>
  </si>
  <si>
    <r>
      <t>berechnungsrelevante NG</t>
    </r>
    <r>
      <rPr>
        <sz val="10"/>
        <rFont val="Arial"/>
        <family val="2"/>
      </rPr>
      <t xml:space="preserve">F der Pflegeeinrichtung </t>
    </r>
    <r>
      <rPr>
        <sz val="10"/>
        <rFont val="Arial"/>
        <family val="0"/>
      </rPr>
      <t>(§ 9 Abs. 2 o. § 17 Abs 3 PfG NW)</t>
    </r>
  </si>
  <si>
    <t>(Mehrfachnennungen für ein Gebäude sind möglich.)</t>
  </si>
  <si>
    <t>1.)    Mietverträge:  Anfängliche Inventarmiete pro Jahr</t>
  </si>
  <si>
    <r>
      <t xml:space="preserve">Für angemietetes Inventar sind die anerkennungsfähigen Aufwendungen für Instandhaltung (1%) und Abschreibung (10%) bei Gebäudeeigentum bereits Gegenstand der Bettenwertregelung (Gebäude einschließlich Inventar). Gegenstand der  </t>
    </r>
    <r>
      <rPr>
        <sz val="10"/>
        <rFont val="Arial"/>
        <family val="2"/>
      </rPr>
      <t xml:space="preserve">Vergleichs- berechnung </t>
    </r>
    <r>
      <rPr>
        <sz val="10"/>
        <rFont val="Arial"/>
        <family val="0"/>
      </rPr>
      <t xml:space="preserve">Eigentum bei Inventaranmietung (§ 4 Abs. 2 GesBerVO) ist daher nur der  </t>
    </r>
    <r>
      <rPr>
        <u val="single"/>
        <sz val="10"/>
        <rFont val="Arial"/>
        <family val="2"/>
      </rPr>
      <t>ANTEIL für die VERZINSUNG</t>
    </r>
    <r>
      <rPr>
        <sz val="10"/>
        <rFont val="Arial"/>
        <family val="0"/>
      </rPr>
      <t xml:space="preserve">. Der Anteil "Verzinsung" ins Verhältnis gesetzt zum Anteil "Bettenwert" entspricht dem Verhältnis  </t>
    </r>
    <r>
      <rPr>
        <u val="single"/>
        <sz val="10"/>
        <rFont val="Arial"/>
        <family val="2"/>
      </rPr>
      <t>30%</t>
    </r>
    <r>
      <rPr>
        <sz val="10"/>
        <rFont val="Arial"/>
        <family val="0"/>
      </rPr>
      <t xml:space="preserve"> zu 70%. </t>
    </r>
    <r>
      <rPr>
        <b/>
        <sz val="10"/>
        <rFont val="Arial"/>
        <family val="2"/>
      </rPr>
      <t xml:space="preserve">(FN </t>
    </r>
    <r>
      <rPr>
        <b/>
        <sz val="10"/>
        <rFont val="Wingdings"/>
        <family val="0"/>
      </rPr>
      <t>u</t>
    </r>
    <r>
      <rPr>
        <b/>
        <sz val="10"/>
        <rFont val="Arial"/>
        <family val="2"/>
      </rPr>
      <t>1 s.u.)</t>
    </r>
  </si>
  <si>
    <t>Berechnungsbeispiel 01.08.2003 = 76.700 € = 3.520 € Durchschnittszins pro Jahr (§ 4 Abs. 2 GesBerVO)</t>
  </si>
  <si>
    <r>
      <t xml:space="preserve">       (</t>
    </r>
    <r>
      <rPr>
        <b/>
        <sz val="10"/>
        <rFont val="Arial"/>
        <family val="2"/>
      </rPr>
      <t>Teilbettenwertberechnung</t>
    </r>
    <r>
      <rPr>
        <sz val="10"/>
        <rFont val="Arial"/>
        <family val="0"/>
      </rPr>
      <t xml:space="preserve"> siehe entsprechende </t>
    </r>
    <r>
      <rPr>
        <b/>
        <sz val="10"/>
        <rFont val="Arial"/>
        <family val="2"/>
      </rPr>
      <t>Ziffer 12.b)</t>
    </r>
    <r>
      <rPr>
        <sz val="10"/>
        <rFont val="Arial"/>
        <family val="0"/>
      </rPr>
      <t xml:space="preserve"> </t>
    </r>
    <r>
      <rPr>
        <b/>
        <sz val="10"/>
        <rFont val="Arial"/>
        <family val="2"/>
      </rPr>
      <t xml:space="preserve">des Berechnungsbogens </t>
    </r>
    <r>
      <rPr>
        <sz val="10"/>
        <rFont val="Arial"/>
        <family val="0"/>
      </rPr>
      <t>)</t>
    </r>
  </si>
  <si>
    <r>
      <t xml:space="preserve">-  die in der Vergangenheit bereits auf der Grundlage der GesBerVO vom  </t>
    </r>
    <r>
      <rPr>
        <b/>
        <u val="single"/>
        <sz val="12"/>
        <color indexed="8"/>
        <rFont val="Arial"/>
        <family val="2"/>
      </rPr>
      <t xml:space="preserve">15.10.2003
</t>
    </r>
    <r>
      <rPr>
        <b/>
        <sz val="12"/>
        <color indexed="8"/>
        <rFont val="Arial"/>
        <family val="2"/>
      </rPr>
      <t xml:space="preserve">   eine Zustimmung zur gesonderten Berechnung erhalten haben.
</t>
    </r>
    <r>
      <rPr>
        <sz val="12"/>
        <color indexed="8"/>
        <rFont val="Arial"/>
        <family val="2"/>
      </rPr>
      <t xml:space="preserve">-  Diese Anlage betrifft zusätzlich Erstanträge für bestehende Tages-, Nacht- und Kurzzeitpflege-
   einrichtungen, welche zuvor auf der Grundlage des § 82 Abs. 4 SGB Xl ihre Investitionskosten
   abgerechnet haben. </t>
    </r>
  </si>
  <si>
    <r>
      <t xml:space="preserve">Anhand dieser Anlage wird für den </t>
    </r>
    <r>
      <rPr>
        <b/>
        <sz val="12"/>
        <color indexed="48"/>
        <rFont val="Arial"/>
        <family val="2"/>
      </rPr>
      <t>Zeitpunkt der erstmaligen Antragstellung</t>
    </r>
    <r>
      <rPr>
        <b/>
        <sz val="12"/>
        <rFont val="Arial"/>
        <family val="2"/>
      </rPr>
      <t xml:space="preserve"> nach § 13 Abs. 2 PfG NW für die Pflegeeinrichtung die Fortschreibungsbasis </t>
    </r>
    <r>
      <rPr>
        <b/>
        <sz val="12"/>
        <color indexed="12"/>
        <rFont val="Arial"/>
        <family val="2"/>
      </rPr>
      <t>bei Gebäudeanmietung</t>
    </r>
    <r>
      <rPr>
        <b/>
        <sz val="12"/>
        <rFont val="Arial"/>
        <family val="2"/>
      </rPr>
      <t xml:space="preserve"> für sämtliche Mietverhältnisse festgelegt:</t>
    </r>
  </si>
  <si>
    <r>
      <t xml:space="preserve">Anhand dieser Anlage wird für den </t>
    </r>
    <r>
      <rPr>
        <b/>
        <sz val="12"/>
        <color indexed="48"/>
        <rFont val="Arial"/>
        <family val="2"/>
      </rPr>
      <t>Zeitpunkt der erstmaligen Antragstellung</t>
    </r>
    <r>
      <rPr>
        <b/>
        <sz val="12"/>
        <rFont val="Arial"/>
        <family val="2"/>
      </rPr>
      <t xml:space="preserve"> nach § 13 Abs. 2 PfG NW für die Pflegeeinrichtung die Fortschreibungsbasis </t>
    </r>
    <r>
      <rPr>
        <b/>
        <sz val="12"/>
        <color indexed="12"/>
        <rFont val="Arial"/>
        <family val="2"/>
      </rPr>
      <t>bei Gebäudeeigentum</t>
    </r>
    <r>
      <rPr>
        <b/>
        <sz val="12"/>
        <rFont val="Arial"/>
        <family val="2"/>
      </rPr>
      <t xml:space="preserve"> für ergänzende Mietverhältnisse festgelegt:</t>
    </r>
  </si>
  <si>
    <t>Allgemeines:</t>
  </si>
  <si>
    <t>1.</t>
  </si>
  <si>
    <t>2.</t>
  </si>
  <si>
    <t>a.</t>
  </si>
  <si>
    <t>für alle Kombinationen aus Eigentum und Miete</t>
  </si>
  <si>
    <t>für Erstanträge sowie Folgeanträge</t>
  </si>
  <si>
    <t>b.</t>
  </si>
  <si>
    <t>3.</t>
  </si>
  <si>
    <t>c.</t>
  </si>
  <si>
    <t>d.</t>
  </si>
  <si>
    <t>Anlage  1</t>
  </si>
  <si>
    <t>Verzinsung</t>
  </si>
  <si>
    <t>Anlage  2</t>
  </si>
  <si>
    <t>Anlage  3</t>
  </si>
  <si>
    <t>Berechnung</t>
  </si>
  <si>
    <t>Anlage  4</t>
  </si>
  <si>
    <t xml:space="preserve">Kostennachweis </t>
  </si>
  <si>
    <t>Diese Anlage wird nur benötigt, wenn der Betreiber Eigentümer von Anlagegütern ist.</t>
  </si>
  <si>
    <t>Anlage  5</t>
  </si>
  <si>
    <t>Bei einem Erstantrag übernimmt die EDV das vollautomatische Ausfüllen der Anlage 5.</t>
  </si>
  <si>
    <t>Anlage  6</t>
  </si>
  <si>
    <t>Bei einem Erstantrag übernimmt die EDV das vollautomatische Ausfüllen der Anlage 6.</t>
  </si>
  <si>
    <t>Anlage  7</t>
  </si>
  <si>
    <t>Eigenkapitalverzinsung</t>
  </si>
  <si>
    <t>Die Benutzerfreundlichkeit wurde optimiert</t>
  </si>
  <si>
    <r>
      <t xml:space="preserve">Höhe des anerkannten Eigenkapitals bei Inbetriebnahme in </t>
    </r>
    <r>
      <rPr>
        <b/>
        <sz val="14"/>
        <color indexed="12"/>
        <rFont val="Arial"/>
        <family val="2"/>
      </rPr>
      <t xml:space="preserve">Euro  </t>
    </r>
  </si>
  <si>
    <t>gesamte Nettogrundfläche(NGF) nach DIN 277 der Pflegeeinrichtung</t>
  </si>
  <si>
    <t xml:space="preserve"> x  </t>
  </si>
  <si>
    <t>Zeitpunkt der erstmaligen Zustimmung nach § 13 Abs. 2 PfG NW:</t>
  </si>
  <si>
    <t xml:space="preserve">Zeitpunkt der erstmaligen Antragstellung nach § 13 Abs. 2 PfG NW: </t>
  </si>
  <si>
    <t>"Vergleichsberechnung Eigentum bei Miete" bei erstmaliger Antragstellung: (§ 4 Abs. 2 GesBerVO)</t>
  </si>
  <si>
    <t xml:space="preserve">Erläuterungen </t>
  </si>
  <si>
    <t>zum Antrag auf Zustimmung zur gesonderten Berechnung nach dem</t>
  </si>
  <si>
    <t>Landespflegegesetz NW (PfG NW) vom 08.07.2003</t>
  </si>
  <si>
    <t>Der Antrag besteht aus:</t>
  </si>
  <si>
    <t>Anlage 1.</t>
  </si>
  <si>
    <t>Anlage 2.</t>
  </si>
  <si>
    <t>Anlage 3.</t>
  </si>
  <si>
    <t>Anlage 4.</t>
  </si>
  <si>
    <t>Anlage 5.</t>
  </si>
  <si>
    <t>Anlage 6.</t>
  </si>
  <si>
    <t>Anlage 7.</t>
  </si>
  <si>
    <t>Antrags-/ Abfragebogen</t>
  </si>
  <si>
    <t>Kostennachweis (vorläufig bzw. endgültig)</t>
  </si>
  <si>
    <t>"Vergleichsberechnung Eigentum bei Miete" bei Gebäudemiete</t>
  </si>
  <si>
    <t>"Vergleichsberechnung Eigentum bei Miete" bei Gebäudeeigentum</t>
  </si>
  <si>
    <t>Eigenkapital (Zins- und Tilgungsplan)</t>
  </si>
  <si>
    <t>Auslastung Tages-, Nacht- und Kurzzeitpflegeeinrichtungen</t>
  </si>
  <si>
    <t>Der volle Service, der mit den Antragsunterlagen verbunden ist, kann nur durch die Anwendung von Excel erzielt werden.</t>
  </si>
  <si>
    <t>Anwendbarkeit dieser Unterlagen nach Einrichtungsarten u. Inbetriebnahmezeitpunkt</t>
  </si>
  <si>
    <t>Es handelt sich hier um einen universellen EDV-Antragsbogen</t>
  </si>
  <si>
    <t>Erfassungsfelder sind grün; abgeleitete Felder in der Unterlage sind gelb unterlegt.</t>
  </si>
  <si>
    <t>Die nicht grünen Felder sind mit einem Schreibschutz belegt. Damit wird vermieden, dass versehentlich gelbe Felder oder Textfelder überschrieben werden. Dieses dient der Datensicherheit.</t>
  </si>
  <si>
    <t>Bei EDV-gestützter Antragstellung (Excel) blenden Steuerfelder alle nicht benötigten Abfragealternativen aus.</t>
  </si>
  <si>
    <t>Aus den Anlagen zum Antrag können - nach Maßgabe der Erfassungsdaten - die Ergebnisse der erwarteten Zustimmung zur gesonderten Berechnung nach § 13 Abs. 2 PfG NW abgelesen werden.</t>
  </si>
  <si>
    <t>Die EDV-Erfassung beginnt mit dem Antrags-/ Abfragebogen. Die Erfassungsfelder Ziffern 1.a) bis 1.c) sind zwingend zu Beginn der Erfassung vollständig auszufüllen!
Sobald das Datum "Antrag auf Neuregelung ab dem:" eingetragen wird, richten sich alle textlichen Festsetzungen auf dieses Datum aus. Das gilt auch für prospektive Planungszeiträume.</t>
  </si>
  <si>
    <t>Diese Anlage wird nur benötigt, sofern Zinsen beantragt werden dürfen.</t>
  </si>
  <si>
    <t>Auslastung bei Tages-, Nacht- und Kurzzeitpflegeeinrichtungen</t>
  </si>
  <si>
    <t>Kosten für Wirtschaftsgüter, die zum Verbrauch bestimmt sind</t>
  </si>
  <si>
    <r>
      <t xml:space="preserve">Anhand dieser Anlage wird für den Zeitpunkt der erstmaligen Antragstellung nach § 13 Abs. 2 PfG NW für die Pflegeeinrichtung die Fortschreibungsbasis bei Gebäudeanmietung für </t>
    </r>
    <r>
      <rPr>
        <b/>
        <sz val="10"/>
        <rFont val="Arial"/>
        <family val="2"/>
      </rPr>
      <t>sämtliche Mietverhältnisse</t>
    </r>
    <r>
      <rPr>
        <sz val="10"/>
        <rFont val="Arial"/>
        <family val="0"/>
      </rPr>
      <t xml:space="preserve"> (einschließlich Inventarmieten) festgelegt:
Sofern der Mieter/Betreiber ggfls. selbst Anlagegüter beschafft (Inventareigentum und/oder Umbaukosten auf Kosten des Mieters), so ist die Anlage 5 nicht nur beim Erstantrag sondern auch beim ersten Folgeantrag, mit dem der endgültige Kostennachweis vorgelegt wird, Bestandteil der einzureichenden Antragsunterlagen.</t>
    </r>
  </si>
  <si>
    <t>Mit diesem Antragsbogen können Anträge auf Zustimmung zur gesonderten Berechnung nach 
§ 13 Abs. 2 PfG NW für
    -  Neubaumaßnahmen von allen Pflegeeinrichtungen ab dem 01.08.2003 und 
    -  Umbaumaßnahmen von vollstationären Pflegeeinrichtungen ab dem 01.08.2003 
                                (Für den Umbau und die Erweiterung von vor dem 01.08.2003 geförderten 
                                 Tages-, Nacht- und Kurzzeitpflegeeinrichtungen gilt der bisherige 
                                 Antragsvordruck weiter; vgl. Sonderregelung aus § 5 Abs. 3 GesBerVO.)
 sowie für
    -  Pflegeeinrichtungen, die vor dem 01.08.2003 (Zeitpunkt der grundsätzlichen Novellierung 
       des PfG NW) nach § 82 Abs. 4 SGB Xl zu bewerten waren,
gestellt werden.</t>
  </si>
  <si>
    <t xml:space="preserve"> Mai 2015</t>
  </si>
  <si>
    <t xml:space="preserve"> Mai 2016</t>
  </si>
  <si>
    <t xml:space="preserve"> Mai 2017</t>
  </si>
  <si>
    <t>5)</t>
  </si>
  <si>
    <r>
      <t xml:space="preserve">Auf der Grundlage der Erfassungsdaten kann das Ergebnis einer Zustimmung zur gesonderten Berechnung vorausberechnet werden. Solange der Zustimmungsbescheid vom zuständigen Landschaftsverband noch nicht ausgefertigt ist, kann der Kommunikationsprozeß zwischen dem Heim und den Heimbewohnern, örtlichen Trägern der Sozialhilfe oder Banken etc. unterstützt werden. 
Aus Sicht der zuständigen Landschaftsverbände ist es wünschenswert, wenn der Berechnungsbogen mit dem Antragsbogen gemeinsam zur Prüfung eingereicht wird. Dieses kann die Prüfung der Unterlagen beschleunigen.
Für prospektive Planungszeiträume rechnet das EDV-Programm mit den in der Anlage 3 
(ab </t>
    </r>
    <r>
      <rPr>
        <b/>
        <u val="single"/>
        <sz val="10"/>
        <color indexed="57"/>
        <rFont val="Arial"/>
        <family val="2"/>
      </rPr>
      <t>Zeilen 152 ff.)</t>
    </r>
    <r>
      <rPr>
        <sz val="10"/>
        <rFont val="Arial"/>
        <family val="0"/>
      </rPr>
      <t xml:space="preserve"> und Anlage 5 (ab </t>
    </r>
    <r>
      <rPr>
        <b/>
        <u val="single"/>
        <sz val="10"/>
        <color indexed="57"/>
        <rFont val="Arial"/>
        <family val="2"/>
      </rPr>
      <t>Zeilen 160 ff</t>
    </r>
    <r>
      <rPr>
        <u val="single"/>
        <sz val="10"/>
        <color indexed="57"/>
        <rFont val="Arial"/>
        <family val="2"/>
      </rPr>
      <t>.</t>
    </r>
    <r>
      <rPr>
        <sz val="10"/>
        <rFont val="Arial"/>
        <family val="0"/>
      </rPr>
      <t>) zuletzt erfassten Werten.</t>
    </r>
  </si>
  <si>
    <t xml:space="preserve">Erträge aus Fremdnutzung von Gebäudeteilen </t>
  </si>
  <si>
    <t xml:space="preserve">       Werte 07/2007 bis 01/2009 nachgetragen am 04.04.2008, gez. Ng.</t>
  </si>
  <si>
    <t xml:space="preserve">   Lt. Statistischem Landesamt neuer Verbraucherpreisindex</t>
  </si>
  <si>
    <t xml:space="preserve">       Werte 02/2009 bis 04/2009 nachgetragen am 16.06.2008, gez. Ng.</t>
  </si>
  <si>
    <t>Hyperlink zur Internetseite LWL; dort Ziffer 1.4)</t>
  </si>
  <si>
    <t>2.a)</t>
  </si>
  <si>
    <t>2.b)</t>
  </si>
  <si>
    <t xml:space="preserve"> (§ 6 Satz 3 GesBerVO) </t>
  </si>
  <si>
    <t>einschließlich ÄnderungsVO vom 21.04.08. zur GesBerVO</t>
  </si>
  <si>
    <t>Beispiel 1: (erst 2,3% u. ab dem 11.-ten Jahr 2,4% Zinssatz/Jahr bei Endfälligkeit nach 20 Jahren)
                 [2,3% x 10 Jahre] + [2,4% x 10 Jahre] : 25 Bemessungsjahre = Durchschnitt 1,88 %
                 Folglich ist der 2%-ige AfA-Zuschlag zu gewähren.</t>
  </si>
  <si>
    <t>Beispiel 2: (2,3% bei Endfälligkeit nach 23 Jahren)
                 [2,3% x 23 Jahre] : 25 Bemessungsjahre = Durchschnitt 2,12 %
                 Folglich ist der 2%-ige AfA-Zuschlag nicht zu gewähren.</t>
  </si>
  <si>
    <t xml:space="preserve">       Werte 05/2009 und 06/2009 nachgetragen am 06.08.2008, gez. Ng.</t>
  </si>
  <si>
    <r>
      <t xml:space="preserve">2.a) </t>
    </r>
    <r>
      <rPr>
        <sz val="10"/>
        <rFont val="Arial"/>
        <family val="0"/>
      </rPr>
      <t xml:space="preserve"> </t>
    </r>
    <r>
      <rPr>
        <b/>
        <sz val="10"/>
        <rFont val="Arial"/>
        <family val="2"/>
      </rPr>
      <t>Bescheinigung</t>
    </r>
    <r>
      <rPr>
        <sz val="10"/>
        <rFont val="Arial"/>
        <family val="0"/>
      </rPr>
      <t xml:space="preserve"> des örtl. Trägers der Sozialhilfe lt. </t>
    </r>
    <r>
      <rPr>
        <b/>
        <sz val="10"/>
        <rFont val="Arial"/>
        <family val="2"/>
      </rPr>
      <t>§ 9 Abs. 2 PfG NW</t>
    </r>
    <r>
      <rPr>
        <sz val="10"/>
        <rFont val="Arial"/>
        <family val="0"/>
      </rPr>
      <t xml:space="preserve"> liegt vor</t>
    </r>
    <r>
      <rPr>
        <b/>
        <sz val="10"/>
        <rFont val="Arial"/>
        <family val="2"/>
      </rPr>
      <t xml:space="preserve"> ?</t>
    </r>
  </si>
  <si>
    <t xml:space="preserve">       Wert 08/2009 nachgetragen am 14.10.2008, gez. Ng.</t>
  </si>
  <si>
    <t xml:space="preserve">   Lt. Statistischem Landesamt neuer Bauindex (19.02.2010 Ng.)</t>
  </si>
  <si>
    <t xml:space="preserve">       Werte 09/2009 bis 12/2010 nachgetragen am 19.02.2010, gez Ng.</t>
  </si>
  <si>
    <t xml:space="preserve">   Lt. Statistischem Landesamt neue Indices (13.08.2010 Ng.)</t>
  </si>
  <si>
    <t>Anlage:</t>
  </si>
  <si>
    <r>
      <t xml:space="preserve">Kostennachweis </t>
    </r>
    <r>
      <rPr>
        <u val="single"/>
        <sz val="14"/>
        <rFont val="Arial"/>
        <family val="2"/>
      </rPr>
      <t>(Stand: 07.02.2007)</t>
    </r>
  </si>
  <si>
    <t>bei Investitionskostenberechnung nach der GesBerVO vom 15.10.2003</t>
  </si>
  <si>
    <r>
      <t xml:space="preserve">Es handelt sich um einen        </t>
    </r>
    <r>
      <rPr>
        <sz val="14"/>
        <rFont val="Arial"/>
        <family val="2"/>
      </rPr>
      <t xml:space="preserve">    </t>
    </r>
    <r>
      <rPr>
        <b/>
        <sz val="12"/>
        <rFont val="Arial"/>
        <family val="2"/>
      </rPr>
      <t xml:space="preserve"> ( </t>
    </r>
    <r>
      <rPr>
        <b/>
        <u val="single"/>
        <sz val="12"/>
        <rFont val="Arial"/>
        <family val="2"/>
      </rPr>
      <t>un</t>
    </r>
    <r>
      <rPr>
        <b/>
        <sz val="12"/>
        <rFont val="Arial"/>
        <family val="2"/>
      </rPr>
      <t xml:space="preserve">zutreffendes bitte </t>
    </r>
    <r>
      <rPr>
        <b/>
        <u val="single"/>
        <sz val="12"/>
        <rFont val="Arial"/>
        <family val="2"/>
      </rPr>
      <t xml:space="preserve">streichen </t>
    </r>
    <r>
      <rPr>
        <b/>
        <sz val="12"/>
        <rFont val="Arial"/>
        <family val="2"/>
      </rPr>
      <t>)</t>
    </r>
  </si>
  <si>
    <t>Neubau</t>
  </si>
  <si>
    <t>Umbau</t>
  </si>
  <si>
    <t>Platzzahl</t>
  </si>
  <si>
    <t>Nettogrundfläche für alle Plätze nach DIN 277</t>
  </si>
  <si>
    <t>qm</t>
  </si>
  <si>
    <t>davon:</t>
  </si>
  <si>
    <t>Zutreffendes bitte ankreuzen:</t>
  </si>
  <si>
    <t>endgültiger Kostennachweis</t>
  </si>
  <si>
    <r>
      <t xml:space="preserve">folgende Gesamtkosten sind entstanden </t>
    </r>
    <r>
      <rPr>
        <b/>
        <vertAlign val="superscript"/>
        <sz val="14"/>
        <rFont val="Arial"/>
        <family val="2"/>
      </rPr>
      <t>2)</t>
    </r>
    <r>
      <rPr>
        <b/>
        <sz val="14"/>
        <rFont val="Arial"/>
        <family val="2"/>
      </rPr>
      <t>:</t>
    </r>
  </si>
  <si>
    <t>€</t>
  </si>
  <si>
    <r>
      <t xml:space="preserve">davon Inventar </t>
    </r>
    <r>
      <rPr>
        <sz val="14"/>
        <rFont val="Arial"/>
        <family val="2"/>
      </rPr>
      <t xml:space="preserve">(Kostengruppe 600) </t>
    </r>
    <r>
      <rPr>
        <b/>
        <sz val="10"/>
        <rFont val="Arial"/>
        <family val="2"/>
      </rPr>
      <t xml:space="preserve"> </t>
    </r>
    <r>
      <rPr>
        <sz val="10"/>
        <rFont val="Arial"/>
        <family val="2"/>
      </rPr>
      <t xml:space="preserve">(Angabe nur bei Umbau erforderlich.) </t>
    </r>
  </si>
  <si>
    <t>Kosten der Instandhaltung und sonstige Kosten, die im Einzelfall lt. baufachlicher Stellungnahme des Landschaftsverbandes ausdrücklich ausgeschlossen sind</t>
  </si>
  <si>
    <t>vorschüssige, öffentliche Förderung seit dem 01.08.2003</t>
  </si>
  <si>
    <t>ja (Förderbescheid ist beigefügt)</t>
  </si>
  <si>
    <t>nein</t>
  </si>
  <si>
    <t>Der endgültige Kostennachweis soll spätestens nach Ablauf eines Jahres nach Inbetriebnahme nachgereicht werden.
Anderenfalls ist Fristverlängerung zu beantragen.</t>
  </si>
  <si>
    <t>2)</t>
  </si>
  <si>
    <t xml:space="preserve">Sofern mit der Vorlage des endgültigen Kostennachweises Mehrkosten im Verhältnis zur abgestimmten </t>
  </si>
  <si>
    <t xml:space="preserve">Kostenberechnung geltend gemacht werden, ist hierüber eine erneute Abstimmung  mit dem zuständigen BLB/GLM </t>
  </si>
  <si>
    <t>erforderlich.</t>
  </si>
  <si>
    <t xml:space="preserve">        Werte 2011 nachgetragen am 22.02.2011, gez. Ng.</t>
  </si>
  <si>
    <t xml:space="preserve">   Lt. Statistischem Landesamt neue Indices (06.07.2011 Ng.)</t>
  </si>
  <si>
    <t xml:space="preserve">        Werte 01/2012 bis 05/2012 nachgetragen am 06.07.2011, gez. Ng.</t>
  </si>
  <si>
    <t xml:space="preserve">   Lt. Statistischem Landesamt neue Indices (05.07.2012 Ma.)</t>
  </si>
  <si>
    <t xml:space="preserve">        Werte 06/2012 bis 05/2013 nachgetragen am 05.07.2012, gez. Ma.</t>
  </si>
  <si>
    <t xml:space="preserve">        Werte 06/2013 bis 12/2013 nachgetragen am 04.02.2013, gez. Roe</t>
  </si>
  <si>
    <t>Werte 01/2014 bis 10/2014 nachgetragen am 11.12.2013, gez. Roe</t>
  </si>
</sst>
</file>

<file path=xl/styles.xml><?xml version="1.0" encoding="utf-8"?>
<styleSheet xmlns="http://schemas.openxmlformats.org/spreadsheetml/2006/main">
  <numFmts count="7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0\ [$€-1];[Red]\-#,##0.00\ [$€-1]"/>
    <numFmt numFmtId="169" formatCode="#,##0\ [$€-1];[Red]\-#,##0\ [$€-1]"/>
    <numFmt numFmtId="170" formatCode="_-* #,##0\ _D_M_-;\-* #,##0\ _D_M_-;_-* &quot;-&quot;??\ _D_M_-;_-@_-"/>
    <numFmt numFmtId="171" formatCode="&quot;Regelung bis &quot;dd/mm/yyyy"/>
    <numFmt numFmtId="172" formatCode="#,##0\ [$€-1]"/>
    <numFmt numFmtId="173" formatCode="#,##0.00\ [$€-1]"/>
    <numFmt numFmtId="174" formatCode="0.00\ &quot;qmNGF&quot;"/>
    <numFmt numFmtId="175" formatCode="#,##0\ &quot;€/qmNFG&quot;"/>
    <numFmt numFmtId="176" formatCode="#,##0\ &quot;€/Platz&quot;"/>
    <numFmt numFmtId="177" formatCode="#,##0\ &quot;€&quot;"/>
    <numFmt numFmtId="178" formatCode="0\ &quot;Plätze   =&quot;"/>
    <numFmt numFmtId="179" formatCode="#,##0\ &quot;€/Platz =&quot;"/>
    <numFmt numFmtId="180" formatCode="#,##0\ &quot;Plätze   =&quot;"/>
    <numFmt numFmtId="181" formatCode="0\ &quot;Plätze  =&quot;"/>
    <numFmt numFmtId="182" formatCode="#,##0.00\ &quot;qm&quot;"/>
    <numFmt numFmtId="183" formatCode="0.0"/>
    <numFmt numFmtId="184" formatCode="0.0000"/>
    <numFmt numFmtId="185" formatCode="\-"/>
    <numFmt numFmtId="186" formatCode="0.0000%"/>
    <numFmt numFmtId="187" formatCode="0.00000000%"/>
    <numFmt numFmtId="188" formatCode="#,##0_);\(#,##0\)"/>
    <numFmt numFmtId="189" formatCode="#,##0.00_);\(#,##0.00\)"/>
    <numFmt numFmtId="190" formatCode="#,##0.00\ &quot;(= Wert für 12 Monate)&quot;"/>
    <numFmt numFmtId="191" formatCode="&quot;(=  &quot;#,##0.00\ &quot;qm/Platz)&quot;"/>
    <numFmt numFmtId="192" formatCode="#,##0\ &quot;Euro&quot;"/>
    <numFmt numFmtId="193" formatCode="0\ &quot;Plätze&quot;"/>
    <numFmt numFmtId="194" formatCode="#,##0\ &quot;Euro           &quot;"/>
    <numFmt numFmtId="195" formatCode="#,##0.0"/>
    <numFmt numFmtId="196" formatCode="#,##0.0\ &quot;Punkte&quot;"/>
    <numFmt numFmtId="197" formatCode="#,##0\ &quot;Tage&quot;"/>
    <numFmt numFmtId="198" formatCode="&quot;       &quot;General"/>
    <numFmt numFmtId="199" formatCode="#,##0\ &quot;€ je qmNGF&quot;"/>
    <numFmt numFmtId="200" formatCode="mm/yy"/>
    <numFmt numFmtId="201" formatCode="#,##0\ &quot;Plätze&quot;"/>
    <numFmt numFmtId="202" formatCode="#,###.00\ &quot;€/Tag&quot;"/>
    <numFmt numFmtId="203" formatCode="#,##0.00\ &quot;qmNGF&quot;"/>
    <numFmt numFmtId="204" formatCode="&quot;bis &quot;dd/mm/yy"/>
    <numFmt numFmtId="205" formatCode="dd/mm/yyyy\ &quot;  bis&quot;"/>
    <numFmt numFmtId="206" formatCode="&quot;bis &quot;dd/mm/yyyy\ &quot;)&quot;"/>
    <numFmt numFmtId="207" formatCode="&quot;( ab &quot;dd/mm/yyyy"/>
    <numFmt numFmtId="208" formatCode="0.000%"/>
    <numFmt numFmtId="209" formatCode="&quot;Az.: &quot;0"/>
    <numFmt numFmtId="210" formatCode="dd/mm/yyyy\ &quot;mit&quot;"/>
    <numFmt numFmtId="211" formatCode="&quot;Zinsbeispiel=&quot;dd/mm/yy"/>
    <numFmt numFmtId="212" formatCode="dd/mm/yy"/>
    <numFmt numFmtId="213" formatCode="#,##0.00\ &quot;Tage/Wo.&quot;"/>
    <numFmt numFmtId="214" formatCode="_*"/>
    <numFmt numFmtId="215" formatCode="[Black]#,##0\ &quot;Tage&quot;\ ;[Red]\-0\ ;[White]\+0"/>
    <numFmt numFmtId="216" formatCode="[Black]#,##0.00\ &quot;Tage/Woche&quot;\ ;[Red]\-0\ ;[White]\+0"/>
    <numFmt numFmtId="217" formatCode="[Black]#,##0\ \ ;[Red]\-0\ ;[White]\+0"/>
    <numFmt numFmtId="218" formatCode="[Black]0.00%\ ;[Red]\-0\ ;[White]\+0"/>
    <numFmt numFmtId="219" formatCode="[Black]#,###.00\ &quot;€/Tag&quot;\ ;[Red]\-0\ ;[White]\+0"/>
    <numFmt numFmtId="220" formatCode="[Black]#,###\ &quot;€&quot;\ ;[Red]\-0\ ;[White]\+0"/>
    <numFmt numFmtId="221" formatCode="[Black]#,###\ &quot;€/Platz&quot;\ ;[Red]\-0\ ;[White]\+0"/>
    <numFmt numFmtId="222" formatCode="[Black]#,###\ &quot;Tage&quot;\ ;[Red]\-0\ \ ;[White]\+0"/>
    <numFmt numFmtId="223" formatCode="[Black]#,###.00\ &quot;Tage/Woche&quot;\ ;[Red]\-0.00\ \ ;[White]\+0.00"/>
    <numFmt numFmtId="224" formatCode="[Black]#,###.00\ &quot;qm&quot;\ ;[Red]\-0.00\ ;[White]\+0.00"/>
    <numFmt numFmtId="225" formatCode="[Black]&quot;x &quot;#,###\ &quot;€/qm =&quot;\ ;[Red]\-0\ ;[White]\+0"/>
    <numFmt numFmtId="226" formatCode="[Black]&quot;+  &quot;0.00%\ ;[Red]\-0\ ;[White]\+0"/>
    <numFmt numFmtId="227" formatCode="[Black]#,###.00\ &quot;€\Platz )&quot;\ ;[Red]\-0.00\ ;[White]\+0.00"/>
    <numFmt numFmtId="228" formatCode="[Black]#,##0.00\ \ ;[Red]\-0.00\ ;[White]\+0.00"/>
    <numFmt numFmtId="229" formatCode="[Black]#,###\ &quot;€&quot;\ ;[Red]\-#,###\ &quot;€&quot;\ ;[White]\+0"/>
    <numFmt numFmtId="230" formatCode="[Black]#,###.00\ &quot;qm&quot;\ ;[Red]\-0\ ;[White]\+0"/>
    <numFmt numFmtId="231" formatCode="[Black]0.00\ &quot;qm/Pl&quot;\ ;[Red]\-0\ ;[White]\+0"/>
    <numFmt numFmtId="232" formatCode="#,##0\ _D_M;[Red]\-0\ ;[White]\+#"/>
    <numFmt numFmtId="233" formatCode="[Black]#,###.00\ &quot;€/qmNGF&quot;\ ;[Red]\-0.00\ ;[White]\+0.00"/>
    <numFmt numFmtId="234" formatCode="dd/mm/yyyy\ &quot; =&quot;"/>
  </numFmts>
  <fonts count="166">
    <font>
      <sz val="10"/>
      <name val="Arial"/>
      <family val="0"/>
    </font>
    <font>
      <b/>
      <i/>
      <sz val="10"/>
      <name val="Arial"/>
      <family val="2"/>
    </font>
    <font>
      <b/>
      <i/>
      <sz val="11"/>
      <name val="Arial"/>
      <family val="2"/>
    </font>
    <font>
      <sz val="10"/>
      <color indexed="8"/>
      <name val="Arial"/>
      <family val="2"/>
    </font>
    <font>
      <b/>
      <sz val="12"/>
      <name val="Arial"/>
      <family val="2"/>
    </font>
    <font>
      <b/>
      <i/>
      <sz val="16"/>
      <color indexed="8"/>
      <name val="Arial"/>
      <family val="2"/>
    </font>
    <font>
      <b/>
      <sz val="10"/>
      <name val="Arial"/>
      <family val="2"/>
    </font>
    <font>
      <u val="single"/>
      <sz val="10"/>
      <name val="Arial"/>
      <family val="2"/>
    </font>
    <font>
      <b/>
      <i/>
      <sz val="12"/>
      <name val="Arial"/>
      <family val="2"/>
    </font>
    <font>
      <b/>
      <sz val="12"/>
      <color indexed="48"/>
      <name val="Arial"/>
      <family val="2"/>
    </font>
    <font>
      <sz val="8"/>
      <name val="Arial"/>
      <family val="2"/>
    </font>
    <font>
      <b/>
      <u val="single"/>
      <sz val="8"/>
      <name val="Arial"/>
      <family val="2"/>
    </font>
    <font>
      <b/>
      <sz val="10"/>
      <color indexed="48"/>
      <name val="Arial"/>
      <family val="2"/>
    </font>
    <font>
      <sz val="12"/>
      <color indexed="8"/>
      <name val="Arial"/>
      <family val="2"/>
    </font>
    <font>
      <b/>
      <i/>
      <u val="single"/>
      <sz val="12"/>
      <color indexed="8"/>
      <name val="Arial"/>
      <family val="2"/>
    </font>
    <font>
      <u val="single"/>
      <sz val="11"/>
      <color indexed="8"/>
      <name val="Arial"/>
      <family val="2"/>
    </font>
    <font>
      <sz val="9"/>
      <name val="Arial MT"/>
      <family val="2"/>
    </font>
    <font>
      <b/>
      <sz val="9"/>
      <name val="Arial MT"/>
      <family val="0"/>
    </font>
    <font>
      <b/>
      <sz val="9"/>
      <color indexed="12"/>
      <name val="Arial MT"/>
      <family val="0"/>
    </font>
    <font>
      <sz val="9"/>
      <name val="Arial"/>
      <family val="2"/>
    </font>
    <font>
      <u val="single"/>
      <sz val="9"/>
      <name val="Arial MT"/>
      <family val="0"/>
    </font>
    <font>
      <b/>
      <u val="single"/>
      <sz val="14"/>
      <name val="Arial MT"/>
      <family val="0"/>
    </font>
    <font>
      <b/>
      <sz val="13"/>
      <name val="Arial"/>
      <family val="2"/>
    </font>
    <font>
      <b/>
      <i/>
      <sz val="14"/>
      <name val="Arial"/>
      <family val="2"/>
    </font>
    <font>
      <b/>
      <i/>
      <u val="single"/>
      <sz val="14"/>
      <name val="Arial"/>
      <family val="2"/>
    </font>
    <font>
      <sz val="14"/>
      <name val="Arial"/>
      <family val="2"/>
    </font>
    <font>
      <b/>
      <sz val="11"/>
      <name val="Arial"/>
      <family val="2"/>
    </font>
    <font>
      <sz val="11"/>
      <name val="Arial"/>
      <family val="2"/>
    </font>
    <font>
      <b/>
      <u val="double"/>
      <sz val="16"/>
      <name val="Arial"/>
      <family val="2"/>
    </font>
    <font>
      <u val="double"/>
      <sz val="16"/>
      <name val="Arial"/>
      <family val="2"/>
    </font>
    <font>
      <b/>
      <u val="single"/>
      <sz val="10"/>
      <name val="Arial"/>
      <family val="2"/>
    </font>
    <font>
      <b/>
      <sz val="10"/>
      <name val="Wingdings"/>
      <family val="0"/>
    </font>
    <font>
      <b/>
      <sz val="10"/>
      <color indexed="8"/>
      <name val="Arial"/>
      <family val="2"/>
    </font>
    <font>
      <b/>
      <u val="single"/>
      <sz val="24"/>
      <name val="Arial"/>
      <family val="2"/>
    </font>
    <font>
      <b/>
      <u val="single"/>
      <sz val="22"/>
      <name val="Arial"/>
      <family val="2"/>
    </font>
    <font>
      <b/>
      <sz val="16"/>
      <name val="Arial"/>
      <family val="2"/>
    </font>
    <font>
      <b/>
      <sz val="14"/>
      <name val="Arial"/>
      <family val="2"/>
    </font>
    <font>
      <b/>
      <u val="single"/>
      <sz val="16"/>
      <name val="Arial"/>
      <family val="2"/>
    </font>
    <font>
      <b/>
      <u val="single"/>
      <sz val="20"/>
      <name val="Arial"/>
      <family val="2"/>
    </font>
    <font>
      <sz val="12"/>
      <name val="Arial"/>
      <family val="2"/>
    </font>
    <font>
      <b/>
      <sz val="18"/>
      <name val="Arial"/>
      <family val="2"/>
    </font>
    <font>
      <sz val="18"/>
      <name val="Arial"/>
      <family val="2"/>
    </font>
    <font>
      <sz val="7"/>
      <name val="Arial"/>
      <family val="2"/>
    </font>
    <font>
      <b/>
      <u val="single"/>
      <sz val="14"/>
      <name val="Arial"/>
      <family val="2"/>
    </font>
    <font>
      <b/>
      <sz val="16"/>
      <color indexed="12"/>
      <name val="Arial"/>
      <family val="2"/>
    </font>
    <font>
      <b/>
      <sz val="16"/>
      <color indexed="8"/>
      <name val="Arial"/>
      <family val="2"/>
    </font>
    <font>
      <sz val="16"/>
      <name val="Arial"/>
      <family val="2"/>
    </font>
    <font>
      <i/>
      <sz val="14"/>
      <color indexed="12"/>
      <name val="Arial"/>
      <family val="2"/>
    </font>
    <font>
      <i/>
      <sz val="10"/>
      <color indexed="12"/>
      <name val="Arial"/>
      <family val="2"/>
    </font>
    <font>
      <b/>
      <sz val="11"/>
      <color indexed="10"/>
      <name val="Arial"/>
      <family val="2"/>
    </font>
    <font>
      <b/>
      <sz val="14"/>
      <color indexed="10"/>
      <name val="Arial"/>
      <family val="2"/>
    </font>
    <font>
      <sz val="10"/>
      <color indexed="10"/>
      <name val="Arial"/>
      <family val="2"/>
    </font>
    <font>
      <b/>
      <sz val="12"/>
      <color indexed="8"/>
      <name val="Arial"/>
      <family val="2"/>
    </font>
    <font>
      <b/>
      <sz val="12"/>
      <color indexed="10"/>
      <name val="Arial"/>
      <family val="2"/>
    </font>
    <font>
      <sz val="12"/>
      <color indexed="10"/>
      <name val="Arial"/>
      <family val="2"/>
    </font>
    <font>
      <b/>
      <sz val="10"/>
      <color indexed="10"/>
      <name val="Arial"/>
      <family val="2"/>
    </font>
    <font>
      <b/>
      <u val="single"/>
      <sz val="14"/>
      <color indexed="10"/>
      <name val="Arial"/>
      <family val="2"/>
    </font>
    <font>
      <sz val="16"/>
      <color indexed="10"/>
      <name val="Arial"/>
      <family val="2"/>
    </font>
    <font>
      <b/>
      <sz val="16"/>
      <color indexed="10"/>
      <name val="Arial"/>
      <family val="2"/>
    </font>
    <font>
      <b/>
      <sz val="12"/>
      <color indexed="12"/>
      <name val="Arial"/>
      <family val="2"/>
    </font>
    <font>
      <b/>
      <u val="single"/>
      <sz val="12"/>
      <name val="Arial"/>
      <family val="2"/>
    </font>
    <font>
      <b/>
      <u val="single"/>
      <sz val="18"/>
      <name val="Arial"/>
      <family val="2"/>
    </font>
    <font>
      <b/>
      <sz val="12"/>
      <color indexed="12"/>
      <name val="Arial MT"/>
      <family val="0"/>
    </font>
    <font>
      <b/>
      <sz val="14"/>
      <color indexed="12"/>
      <name val="Arial"/>
      <family val="2"/>
    </font>
    <font>
      <sz val="11"/>
      <name val="Arial MT"/>
      <family val="2"/>
    </font>
    <font>
      <b/>
      <sz val="11"/>
      <name val="Arial MT"/>
      <family val="0"/>
    </font>
    <font>
      <b/>
      <sz val="16"/>
      <name val="Arial MT"/>
      <family val="0"/>
    </font>
    <font>
      <b/>
      <sz val="14"/>
      <color indexed="12"/>
      <name val="Arial MT"/>
      <family val="0"/>
    </font>
    <font>
      <b/>
      <sz val="22"/>
      <name val="Arial MT"/>
      <family val="0"/>
    </font>
    <font>
      <b/>
      <sz val="14"/>
      <color indexed="8"/>
      <name val="Arial"/>
      <family val="2"/>
    </font>
    <font>
      <b/>
      <u val="single"/>
      <sz val="20"/>
      <color indexed="48"/>
      <name val="Arial"/>
      <family val="2"/>
    </font>
    <font>
      <b/>
      <sz val="16"/>
      <color indexed="48"/>
      <name val="Arial"/>
      <family val="2"/>
    </font>
    <font>
      <u val="single"/>
      <sz val="14"/>
      <name val="Arial"/>
      <family val="2"/>
    </font>
    <font>
      <b/>
      <u val="single"/>
      <sz val="9"/>
      <name val="Arial"/>
      <family val="2"/>
    </font>
    <font>
      <u val="single"/>
      <sz val="11"/>
      <name val="Arial"/>
      <family val="2"/>
    </font>
    <font>
      <b/>
      <sz val="7"/>
      <name val="Arial"/>
      <family val="2"/>
    </font>
    <font>
      <b/>
      <sz val="11"/>
      <color indexed="8"/>
      <name val="Arial"/>
      <family val="2"/>
    </font>
    <font>
      <b/>
      <sz val="11"/>
      <color indexed="12"/>
      <name val="Arial"/>
      <family val="2"/>
    </font>
    <font>
      <b/>
      <sz val="7"/>
      <color indexed="12"/>
      <name val="Arial"/>
      <family val="2"/>
    </font>
    <font>
      <b/>
      <vertAlign val="superscript"/>
      <sz val="14"/>
      <name val="Arial"/>
      <family val="2"/>
    </font>
    <font>
      <b/>
      <u val="single"/>
      <sz val="26"/>
      <name val="Arial"/>
      <family val="2"/>
    </font>
    <font>
      <b/>
      <i/>
      <sz val="8"/>
      <name val="Arial"/>
      <family val="2"/>
    </font>
    <font>
      <b/>
      <sz val="8"/>
      <name val="Arial"/>
      <family val="2"/>
    </font>
    <font>
      <sz val="6"/>
      <name val="Arial"/>
      <family val="2"/>
    </font>
    <font>
      <b/>
      <sz val="8"/>
      <color indexed="12"/>
      <name val="Arial"/>
      <family val="2"/>
    </font>
    <font>
      <sz val="10"/>
      <color indexed="12"/>
      <name val="Arial"/>
      <family val="2"/>
    </font>
    <font>
      <b/>
      <u val="double"/>
      <sz val="10"/>
      <name val="Arial"/>
      <family val="2"/>
    </font>
    <font>
      <b/>
      <vertAlign val="subscript"/>
      <sz val="14"/>
      <name val="Arial"/>
      <family val="2"/>
    </font>
    <font>
      <u val="single"/>
      <sz val="10"/>
      <color indexed="12"/>
      <name val="Arial"/>
      <family val="2"/>
    </font>
    <font>
      <u val="single"/>
      <sz val="10"/>
      <color indexed="36"/>
      <name val="Arial"/>
      <family val="2"/>
    </font>
    <font>
      <b/>
      <i/>
      <sz val="9"/>
      <name val="Arial"/>
      <family val="2"/>
    </font>
    <font>
      <b/>
      <sz val="9"/>
      <name val="Arial"/>
      <family val="2"/>
    </font>
    <font>
      <b/>
      <i/>
      <sz val="16"/>
      <name val="Arial"/>
      <family val="2"/>
    </font>
    <font>
      <b/>
      <i/>
      <u val="double"/>
      <sz val="20"/>
      <name val="Arial"/>
      <family val="2"/>
    </font>
    <font>
      <b/>
      <u val="single"/>
      <sz val="11"/>
      <name val="Arial"/>
      <family val="2"/>
    </font>
    <font>
      <sz val="11"/>
      <color indexed="48"/>
      <name val="Arial"/>
      <family val="2"/>
    </font>
    <font>
      <sz val="14"/>
      <color indexed="10"/>
      <name val="Arial"/>
      <family val="2"/>
    </font>
    <font>
      <b/>
      <u val="single"/>
      <sz val="12"/>
      <color indexed="8"/>
      <name val="Arial"/>
      <family val="2"/>
    </font>
    <font>
      <b/>
      <u val="double"/>
      <sz val="14"/>
      <name val="Arial"/>
      <family val="2"/>
    </font>
    <font>
      <b/>
      <u val="single"/>
      <sz val="18"/>
      <color indexed="8"/>
      <name val="Arial"/>
      <family val="2"/>
    </font>
    <font>
      <sz val="13"/>
      <name val="Arial"/>
      <family val="2"/>
    </font>
    <font>
      <i/>
      <sz val="9"/>
      <name val="Arial"/>
      <family val="2"/>
    </font>
    <font>
      <b/>
      <i/>
      <sz val="10"/>
      <color indexed="10"/>
      <name val="Arial"/>
      <family val="2"/>
    </font>
    <font>
      <sz val="8"/>
      <color indexed="10"/>
      <name val="Arial"/>
      <family val="2"/>
    </font>
    <font>
      <sz val="9"/>
      <color indexed="10"/>
      <name val="Arial"/>
      <family val="2"/>
    </font>
    <font>
      <b/>
      <i/>
      <u val="single"/>
      <sz val="22"/>
      <name val="Arial"/>
      <family val="2"/>
    </font>
    <font>
      <sz val="11"/>
      <color indexed="46"/>
      <name val="Arial"/>
      <family val="2"/>
    </font>
    <font>
      <b/>
      <sz val="16"/>
      <color indexed="9"/>
      <name val="Arial"/>
      <family val="2"/>
    </font>
    <font>
      <b/>
      <sz val="10"/>
      <color indexed="12"/>
      <name val="Arial"/>
      <family val="2"/>
    </font>
    <font>
      <b/>
      <i/>
      <sz val="9"/>
      <color indexed="10"/>
      <name val="Arial"/>
      <family val="2"/>
    </font>
    <font>
      <b/>
      <sz val="11"/>
      <color indexed="48"/>
      <name val="Arial"/>
      <family val="2"/>
    </font>
    <font>
      <b/>
      <u val="single"/>
      <sz val="12"/>
      <color indexed="48"/>
      <name val="Arial"/>
      <family val="2"/>
    </font>
    <font>
      <b/>
      <u val="single"/>
      <sz val="16"/>
      <color indexed="52"/>
      <name val="Arial"/>
      <family val="2"/>
    </font>
    <font>
      <b/>
      <i/>
      <u val="single"/>
      <sz val="22"/>
      <color indexed="52"/>
      <name val="Arial"/>
      <family val="2"/>
    </font>
    <font>
      <b/>
      <i/>
      <u val="single"/>
      <sz val="14"/>
      <color indexed="52"/>
      <name val="Arial"/>
      <family val="2"/>
    </font>
    <font>
      <b/>
      <u val="single"/>
      <sz val="11.5"/>
      <name val="Arial"/>
      <family val="2"/>
    </font>
    <font>
      <u val="single"/>
      <sz val="11.5"/>
      <name val="Arial"/>
      <family val="2"/>
    </font>
    <font>
      <sz val="11.5"/>
      <name val="Arial"/>
      <family val="2"/>
    </font>
    <font>
      <b/>
      <i/>
      <u val="single"/>
      <sz val="24"/>
      <color indexed="52"/>
      <name val="Arial"/>
      <family val="2"/>
    </font>
    <font>
      <b/>
      <u val="single"/>
      <sz val="10"/>
      <color indexed="57"/>
      <name val="Arial"/>
      <family val="2"/>
    </font>
    <font>
      <u val="single"/>
      <sz val="10"/>
      <color indexed="57"/>
      <name val="Arial"/>
      <family val="2"/>
    </font>
    <font>
      <b/>
      <u val="double"/>
      <sz val="18"/>
      <name val="Arial"/>
      <family val="2"/>
    </font>
    <font>
      <b/>
      <u val="single"/>
      <sz val="11"/>
      <color indexed="10"/>
      <name val="Arial"/>
      <family val="2"/>
    </font>
    <font>
      <b/>
      <u val="single"/>
      <sz val="10"/>
      <color indexed="10"/>
      <name val="Arial"/>
      <family val="2"/>
    </font>
    <font>
      <sz val="10"/>
      <color indexed="14"/>
      <name val="Arial"/>
      <family val="2"/>
    </font>
    <font>
      <b/>
      <sz val="10"/>
      <color indexed="14"/>
      <name val="Arial"/>
      <family val="2"/>
    </font>
    <font>
      <b/>
      <sz val="12"/>
      <color indexed="14"/>
      <name val="Arial"/>
      <family val="2"/>
    </font>
    <font>
      <b/>
      <sz val="9"/>
      <color indexed="14"/>
      <name val="Arial"/>
      <family val="2"/>
    </font>
    <font>
      <b/>
      <i/>
      <u val="single"/>
      <sz val="12"/>
      <name val="Arial"/>
      <family val="2"/>
    </font>
    <font>
      <b/>
      <sz val="7"/>
      <color indexed="57"/>
      <name val="Arial"/>
      <family val="2"/>
    </font>
    <font>
      <sz val="9"/>
      <color indexed="57"/>
      <name val="Arial MT"/>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single"/>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gray0625">
        <fgColor indexed="11"/>
      </patternFill>
    </fill>
    <fill>
      <patternFill patternType="solid">
        <fgColor indexed="43"/>
        <bgColor indexed="64"/>
      </patternFill>
    </fill>
    <fill>
      <patternFill patternType="darkUp">
        <fgColor indexed="9"/>
      </patternFill>
    </fill>
    <fill>
      <patternFill patternType="darkVertical">
        <fgColor indexed="9"/>
      </patternFill>
    </fill>
    <fill>
      <patternFill patternType="solid">
        <fgColor indexed="11"/>
        <bgColor indexed="64"/>
      </patternFill>
    </fill>
    <fill>
      <patternFill patternType="gray125">
        <fgColor indexed="50"/>
      </patternFill>
    </fill>
  </fills>
  <borders count="30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double">
        <color indexed="8"/>
      </right>
      <top>
        <color indexed="63"/>
      </top>
      <bottom>
        <color indexed="63"/>
      </bottom>
    </border>
    <border>
      <left style="double">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double">
        <color indexed="8"/>
      </left>
      <right style="thin">
        <color indexed="8"/>
      </right>
      <top>
        <color indexed="63"/>
      </top>
      <bottom style="dotted">
        <color indexed="8"/>
      </bottom>
    </border>
    <border>
      <left>
        <color indexed="63"/>
      </left>
      <right style="thin">
        <color indexed="8"/>
      </right>
      <top>
        <color indexed="63"/>
      </top>
      <bottom style="dotted">
        <color indexed="8"/>
      </bottom>
    </border>
    <border>
      <left>
        <color indexed="63"/>
      </left>
      <right>
        <color indexed="63"/>
      </right>
      <top>
        <color indexed="63"/>
      </top>
      <bottom style="dotted">
        <color indexed="8"/>
      </bottom>
    </border>
    <border>
      <left>
        <color indexed="63"/>
      </left>
      <right style="double">
        <color indexed="8"/>
      </right>
      <top>
        <color indexed="63"/>
      </top>
      <bottom style="dotted">
        <color indexed="8"/>
      </bottom>
    </border>
    <border>
      <left style="double">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medium">
        <color indexed="8"/>
      </left>
      <right style="thin">
        <color indexed="8"/>
      </right>
      <top>
        <color indexed="63"/>
      </top>
      <bottom style="dotted">
        <color indexed="8"/>
      </bottom>
    </border>
    <border>
      <left>
        <color indexed="63"/>
      </left>
      <right style="medium">
        <color indexed="8"/>
      </right>
      <top>
        <color indexed="63"/>
      </top>
      <bottom style="dotted">
        <color indexed="8"/>
      </bottom>
    </border>
    <border>
      <left style="medium">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double">
        <color indexed="10"/>
      </left>
      <right style="double">
        <color indexed="10"/>
      </right>
      <top style="double">
        <color indexed="10"/>
      </top>
      <bottom style="thin"/>
    </border>
    <border>
      <left style="thick">
        <color indexed="11"/>
      </left>
      <right style="thin"/>
      <top style="thick">
        <color indexed="11"/>
      </top>
      <bottom>
        <color indexed="63"/>
      </bottom>
    </border>
    <border>
      <left>
        <color indexed="63"/>
      </left>
      <right style="thin"/>
      <top style="thick">
        <color indexed="11"/>
      </top>
      <bottom>
        <color indexed="63"/>
      </bottom>
    </border>
    <border>
      <left>
        <color indexed="63"/>
      </left>
      <right style="thick">
        <color indexed="11"/>
      </right>
      <top style="thick">
        <color indexed="11"/>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double">
        <color indexed="10"/>
      </right>
      <top>
        <color indexed="63"/>
      </top>
      <bottom style="thin"/>
    </border>
    <border>
      <left style="double">
        <color indexed="10"/>
      </left>
      <right style="double">
        <color indexed="10"/>
      </right>
      <top style="medium"/>
      <bottom style="medium"/>
    </border>
    <border>
      <left style="medium"/>
      <right>
        <color indexed="63"/>
      </right>
      <top>
        <color indexed="63"/>
      </top>
      <bottom style="thin"/>
    </border>
    <border>
      <left style="thick">
        <color indexed="11"/>
      </left>
      <right style="thin"/>
      <top style="medium"/>
      <bottom style="medium"/>
    </border>
    <border>
      <left style="thin"/>
      <right style="thick">
        <color indexed="11"/>
      </right>
      <top style="medium"/>
      <bottom style="medium"/>
    </border>
    <border>
      <left>
        <color indexed="63"/>
      </left>
      <right>
        <color indexed="63"/>
      </right>
      <top style="medium"/>
      <bottom>
        <color indexed="63"/>
      </bottom>
    </border>
    <border>
      <left style="thin"/>
      <right style="thin"/>
      <top style="medium"/>
      <bottom style="double"/>
    </border>
    <border>
      <left>
        <color indexed="63"/>
      </left>
      <right style="thin"/>
      <top>
        <color indexed="63"/>
      </top>
      <bottom style="double"/>
    </border>
    <border>
      <left>
        <color indexed="63"/>
      </left>
      <right>
        <color indexed="63"/>
      </right>
      <top>
        <color indexed="63"/>
      </top>
      <bottom style="double"/>
    </border>
    <border>
      <left>
        <color indexed="63"/>
      </left>
      <right>
        <color indexed="63"/>
      </right>
      <top style="medium"/>
      <bottom style="double"/>
    </border>
    <border>
      <left style="thick">
        <color indexed="11"/>
      </left>
      <right style="thin"/>
      <top style="medium"/>
      <bottom style="double"/>
    </border>
    <border>
      <left style="thin"/>
      <right>
        <color indexed="63"/>
      </right>
      <top style="medium"/>
      <bottom style="double"/>
    </border>
    <border>
      <left>
        <color indexed="63"/>
      </left>
      <right style="thick">
        <color indexed="11"/>
      </right>
      <top style="medium"/>
      <bottom>
        <color indexed="63"/>
      </bottom>
    </border>
    <border>
      <left style="thick">
        <color indexed="11"/>
      </left>
      <right>
        <color indexed="63"/>
      </right>
      <top style="double"/>
      <bottom style="thin"/>
    </border>
    <border>
      <left>
        <color indexed="63"/>
      </left>
      <right style="thick">
        <color indexed="11"/>
      </right>
      <top>
        <color indexed="63"/>
      </top>
      <bottom>
        <color indexed="63"/>
      </bottom>
    </border>
    <border>
      <left style="medium"/>
      <right style="medium"/>
      <top>
        <color indexed="63"/>
      </top>
      <bottom style="thin"/>
    </border>
    <border>
      <left>
        <color indexed="63"/>
      </left>
      <right style="thin"/>
      <top>
        <color indexed="63"/>
      </top>
      <bottom style="thin"/>
    </border>
    <border>
      <left style="double">
        <color indexed="10"/>
      </left>
      <right style="double">
        <color indexed="10"/>
      </right>
      <top style="thin"/>
      <bottom style="thin"/>
    </border>
    <border>
      <left style="double">
        <color indexed="10"/>
      </left>
      <right style="medium"/>
      <top style="thin"/>
      <bottom style="thin"/>
    </border>
    <border>
      <left style="thick">
        <color indexed="11"/>
      </left>
      <right style="thin"/>
      <top>
        <color indexed="63"/>
      </top>
      <bottom style="thin"/>
    </border>
    <border>
      <left style="thin"/>
      <right style="thin"/>
      <top>
        <color indexed="63"/>
      </top>
      <bottom style="thin"/>
    </border>
    <border>
      <left style="thin"/>
      <right style="thick">
        <color indexed="11"/>
      </right>
      <top style="thin"/>
      <bottom style="thin"/>
    </border>
    <border>
      <left style="double">
        <color indexed="10"/>
      </left>
      <right style="double">
        <color indexed="10"/>
      </right>
      <top>
        <color indexed="63"/>
      </top>
      <bottom style="thin"/>
    </border>
    <border>
      <left style="thick">
        <color indexed="11"/>
      </left>
      <right style="thin"/>
      <top style="thin"/>
      <bottom style="thin"/>
    </border>
    <border>
      <left style="medium"/>
      <right style="medium"/>
      <top style="thin"/>
      <bottom style="medium"/>
    </border>
    <border>
      <left style="medium"/>
      <right style="medium"/>
      <top>
        <color indexed="63"/>
      </top>
      <bottom style="medium"/>
    </border>
    <border>
      <left>
        <color indexed="63"/>
      </left>
      <right style="medium"/>
      <top>
        <color indexed="63"/>
      </top>
      <bottom style="medium"/>
    </border>
    <border>
      <left style="double">
        <color indexed="10"/>
      </left>
      <right style="double">
        <color indexed="10"/>
      </right>
      <top>
        <color indexed="63"/>
      </top>
      <bottom style="medium"/>
    </border>
    <border>
      <left>
        <color indexed="63"/>
      </left>
      <right>
        <color indexed="63"/>
      </right>
      <top>
        <color indexed="63"/>
      </top>
      <bottom style="medium"/>
    </border>
    <border>
      <left style="thick">
        <color indexed="11"/>
      </left>
      <right style="thin"/>
      <top>
        <color indexed="63"/>
      </top>
      <bottom style="medium"/>
    </border>
    <border>
      <left style="thin"/>
      <right style="thin"/>
      <top>
        <color indexed="63"/>
      </top>
      <bottom>
        <color indexed="63"/>
      </bottom>
    </border>
    <border>
      <left style="double">
        <color indexed="10"/>
      </left>
      <right style="double">
        <color indexed="10"/>
      </right>
      <top style="medium"/>
      <bottom style="double">
        <color indexed="10"/>
      </bottom>
    </border>
    <border>
      <left style="thick">
        <color indexed="11"/>
      </left>
      <right>
        <color indexed="63"/>
      </right>
      <top>
        <color indexed="63"/>
      </top>
      <bottom>
        <color indexed="63"/>
      </bottom>
    </border>
    <border>
      <left style="medium"/>
      <right style="thin"/>
      <top style="medium"/>
      <bottom style="medium"/>
    </border>
    <border>
      <left style="thick">
        <color indexed="11"/>
      </left>
      <right>
        <color indexed="63"/>
      </right>
      <top>
        <color indexed="63"/>
      </top>
      <bottom style="thick">
        <color indexed="11"/>
      </bottom>
    </border>
    <border>
      <left>
        <color indexed="63"/>
      </left>
      <right>
        <color indexed="63"/>
      </right>
      <top>
        <color indexed="63"/>
      </top>
      <bottom style="thick">
        <color indexed="11"/>
      </bottom>
    </border>
    <border>
      <left>
        <color indexed="63"/>
      </left>
      <right style="thick">
        <color indexed="11"/>
      </right>
      <top>
        <color indexed="63"/>
      </top>
      <bottom style="thick">
        <color indexed="11"/>
      </bottom>
    </border>
    <border>
      <left style="thick">
        <color indexed="11"/>
      </left>
      <right>
        <color indexed="63"/>
      </right>
      <top style="thick">
        <color indexed="11"/>
      </top>
      <bottom>
        <color indexed="63"/>
      </bottom>
    </border>
    <border>
      <left>
        <color indexed="63"/>
      </left>
      <right>
        <color indexed="63"/>
      </right>
      <top style="thick">
        <color indexed="11"/>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style="thin"/>
    </border>
    <border>
      <left style="thin"/>
      <right style="thick">
        <color indexed="11"/>
      </right>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ck">
        <color indexed="11"/>
      </right>
      <top style="thin"/>
      <bottom style="medium"/>
    </border>
    <border>
      <left style="thick"/>
      <right>
        <color indexed="63"/>
      </right>
      <top style="thick"/>
      <bottom style="thick"/>
    </border>
    <border>
      <left>
        <color indexed="63"/>
      </left>
      <right>
        <color indexed="63"/>
      </right>
      <top style="thick"/>
      <bottom style="thick"/>
    </border>
    <border>
      <left>
        <color indexed="63"/>
      </left>
      <right style="medium"/>
      <top style="thick"/>
      <bottom style="thick"/>
    </border>
    <border>
      <left style="thick">
        <color indexed="11"/>
      </left>
      <right>
        <color indexed="63"/>
      </right>
      <top style="thick">
        <color indexed="11"/>
      </top>
      <bottom style="thick">
        <color indexed="11"/>
      </bottom>
    </border>
    <border>
      <left>
        <color indexed="63"/>
      </left>
      <right>
        <color indexed="63"/>
      </right>
      <top style="thick">
        <color indexed="11"/>
      </top>
      <bottom style="thick">
        <color indexed="11"/>
      </bottom>
    </border>
    <border>
      <left>
        <color indexed="63"/>
      </left>
      <right style="thick">
        <color indexed="11"/>
      </right>
      <top style="thick">
        <color indexed="11"/>
      </top>
      <bottom style="thick">
        <color indexed="11"/>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double"/>
      <right style="double"/>
      <top style="double">
        <color indexed="8"/>
      </top>
      <bottom>
        <color indexed="63"/>
      </bottom>
    </border>
    <border>
      <left style="double"/>
      <right>
        <color indexed="63"/>
      </right>
      <top style="double"/>
      <bottom>
        <color indexed="63"/>
      </bottom>
    </border>
    <border>
      <left style="double"/>
      <right style="double"/>
      <top style="double"/>
      <bottom style="double"/>
    </border>
    <border>
      <left style="double"/>
      <right style="double"/>
      <top>
        <color indexed="63"/>
      </top>
      <bottom>
        <color indexed="63"/>
      </bottom>
    </border>
    <border>
      <left style="double"/>
      <right>
        <color indexed="63"/>
      </right>
      <top>
        <color indexed="63"/>
      </top>
      <bottom>
        <color indexed="63"/>
      </bottom>
    </border>
    <border>
      <left style="double"/>
      <right style="double"/>
      <top>
        <color indexed="63"/>
      </top>
      <bottom style="medium">
        <color indexed="8"/>
      </bottom>
    </border>
    <border>
      <left style="double"/>
      <right>
        <color indexed="63"/>
      </right>
      <top>
        <color indexed="63"/>
      </top>
      <bottom style="double"/>
    </border>
    <border>
      <left style="double"/>
      <right style="double"/>
      <top>
        <color indexed="63"/>
      </top>
      <bottom style="double"/>
    </border>
    <border>
      <left style="double"/>
      <right style="double"/>
      <top>
        <color indexed="63"/>
      </top>
      <bottom style="dotted">
        <color indexed="8"/>
      </bottom>
    </border>
    <border>
      <left style="double"/>
      <right style="double"/>
      <top>
        <color indexed="63"/>
      </top>
      <bottom style="double">
        <color indexed="8"/>
      </bottom>
    </border>
    <border>
      <left>
        <color indexed="63"/>
      </left>
      <right style="medium">
        <color indexed="8"/>
      </right>
      <top>
        <color indexed="63"/>
      </top>
      <bottom>
        <color indexed="63"/>
      </bottom>
    </border>
    <border>
      <left style="double">
        <color indexed="10"/>
      </left>
      <right>
        <color indexed="63"/>
      </right>
      <top>
        <color indexed="63"/>
      </top>
      <bottom style="thin">
        <color indexed="8"/>
      </bottom>
    </border>
    <border>
      <left>
        <color indexed="63"/>
      </left>
      <right style="medium">
        <color indexed="8"/>
      </right>
      <top>
        <color indexed="63"/>
      </top>
      <bottom style="thin"/>
    </border>
    <border>
      <left>
        <color indexed="63"/>
      </left>
      <right style="double">
        <color indexed="10"/>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hair"/>
      <right style="medium"/>
      <top>
        <color indexed="63"/>
      </top>
      <bottom style="hair"/>
    </border>
    <border>
      <left style="thick"/>
      <right>
        <color indexed="63"/>
      </right>
      <top>
        <color indexed="63"/>
      </top>
      <bottom>
        <color indexed="63"/>
      </bottom>
    </border>
    <border>
      <left style="thick"/>
      <right>
        <color indexed="63"/>
      </right>
      <top style="thick"/>
      <bottom>
        <color indexed="63"/>
      </bottom>
    </border>
    <border>
      <left style="thin"/>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ck"/>
      <right style="thick"/>
      <top>
        <color indexed="63"/>
      </top>
      <bottom style="thick"/>
    </border>
    <border>
      <left style="thick"/>
      <right style="thick"/>
      <top style="thick"/>
      <bottom style="hair"/>
    </border>
    <border>
      <left style="thick"/>
      <right style="thick"/>
      <top style="hair"/>
      <bottom style="hair"/>
    </border>
    <border>
      <left style="thick"/>
      <right style="thick"/>
      <top style="hair"/>
      <bottom style="thick"/>
    </border>
    <border>
      <left>
        <color indexed="63"/>
      </left>
      <right style="medium"/>
      <top style="thick"/>
      <bottom>
        <color indexed="63"/>
      </bottom>
    </border>
    <border>
      <left style="thick"/>
      <right style="thin"/>
      <top>
        <color indexed="63"/>
      </top>
      <bottom style="thin"/>
    </border>
    <border>
      <left style="thick"/>
      <right style="thin"/>
      <top style="thin"/>
      <bottom style="thin"/>
    </border>
    <border>
      <left style="thick"/>
      <right style="thin"/>
      <top style="thin"/>
      <bottom style="medium"/>
    </border>
    <border>
      <left>
        <color indexed="63"/>
      </left>
      <right style="medium">
        <color indexed="8"/>
      </right>
      <top>
        <color indexed="63"/>
      </top>
      <bottom style="double">
        <color indexed="10"/>
      </bottom>
    </border>
    <border>
      <left style="thick"/>
      <right style="thick"/>
      <top style="thin"/>
      <bottom>
        <color indexed="63"/>
      </bottom>
    </border>
    <border>
      <left>
        <color indexed="63"/>
      </left>
      <right>
        <color indexed="63"/>
      </right>
      <top style="thick"/>
      <bottom>
        <color indexed="63"/>
      </bottom>
    </border>
    <border>
      <left>
        <color indexed="63"/>
      </left>
      <right style="medium"/>
      <top style="thin"/>
      <bottom style="medium"/>
    </border>
    <border>
      <left style="thick"/>
      <right style="medium"/>
      <top>
        <color indexed="63"/>
      </top>
      <bottom>
        <color indexed="63"/>
      </bottom>
    </border>
    <border>
      <left style="thick"/>
      <right style="thick"/>
      <top>
        <color indexed="63"/>
      </top>
      <bottom style="medium"/>
    </border>
    <border>
      <left style="thick"/>
      <right style="thick"/>
      <top style="thick"/>
      <bottom style="thick"/>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ck"/>
      <right>
        <color indexed="63"/>
      </right>
      <top style="thick"/>
      <bottom style="hair"/>
    </border>
    <border>
      <left style="hair"/>
      <right style="thick"/>
      <top style="thick"/>
      <bottom style="hair"/>
    </border>
    <border>
      <left style="hair"/>
      <right style="thick"/>
      <top style="hair"/>
      <bottom style="hair"/>
    </border>
    <border>
      <left style="thick"/>
      <right>
        <color indexed="63"/>
      </right>
      <top style="hair"/>
      <bottom style="hair"/>
    </border>
    <border>
      <left style="thin"/>
      <right style="thin"/>
      <top style="thin"/>
      <bottom>
        <color indexed="63"/>
      </bottom>
    </border>
    <border>
      <left style="thin"/>
      <right>
        <color indexed="63"/>
      </right>
      <top style="thin"/>
      <bottom style="thin"/>
    </border>
    <border>
      <left style="double">
        <color indexed="12"/>
      </left>
      <right style="medium"/>
      <top style="double">
        <color indexed="12"/>
      </top>
      <bottom style="medium"/>
    </border>
    <border>
      <left style="medium"/>
      <right style="double">
        <color indexed="12"/>
      </right>
      <top style="double">
        <color indexed="12"/>
      </top>
      <bottom style="medium"/>
    </border>
    <border>
      <left style="double">
        <color indexed="12"/>
      </left>
      <right>
        <color indexed="63"/>
      </right>
      <top>
        <color indexed="63"/>
      </top>
      <bottom>
        <color indexed="63"/>
      </bottom>
    </border>
    <border>
      <left>
        <color indexed="63"/>
      </left>
      <right style="double">
        <color indexed="12"/>
      </right>
      <top>
        <color indexed="63"/>
      </top>
      <bottom>
        <color indexed="63"/>
      </bottom>
    </border>
    <border>
      <left style="double">
        <color indexed="12"/>
      </left>
      <right style="hair"/>
      <top style="hair"/>
      <bottom style="hair"/>
    </border>
    <border>
      <left style="hair"/>
      <right style="double">
        <color indexed="12"/>
      </right>
      <top style="hair"/>
      <bottom style="hair"/>
    </border>
    <border>
      <left style="double">
        <color indexed="12"/>
      </left>
      <right style="hair"/>
      <top style="hair"/>
      <bottom style="double">
        <color indexed="12"/>
      </bottom>
    </border>
    <border>
      <left style="hair"/>
      <right style="double">
        <color indexed="12"/>
      </right>
      <top style="hair"/>
      <bottom style="double">
        <color indexed="12"/>
      </bottom>
    </border>
    <border>
      <left>
        <color indexed="63"/>
      </left>
      <right style="hair"/>
      <top>
        <color indexed="63"/>
      </top>
      <bottom>
        <color indexed="63"/>
      </bottom>
    </border>
    <border>
      <left>
        <color indexed="63"/>
      </left>
      <right style="medium"/>
      <top style="thick"/>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color indexed="63"/>
      </right>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thick"/>
      <top style="thick"/>
      <bottom>
        <color indexed="63"/>
      </bottom>
    </border>
    <border>
      <left>
        <color indexed="63"/>
      </left>
      <right style="medium">
        <color indexed="17"/>
      </right>
      <top>
        <color indexed="63"/>
      </top>
      <bottom style="thin"/>
    </border>
    <border>
      <left>
        <color indexed="63"/>
      </left>
      <right>
        <color indexed="63"/>
      </right>
      <top style="medium"/>
      <bottom style="medium"/>
    </border>
    <border>
      <left style="thick"/>
      <right>
        <color indexed="63"/>
      </right>
      <top>
        <color indexed="63"/>
      </top>
      <bottom style="thin"/>
    </border>
    <border>
      <left style="medium"/>
      <right style="medium"/>
      <top style="thin"/>
      <bottom>
        <color indexed="63"/>
      </bottom>
    </border>
    <border>
      <left style="medium"/>
      <right style="medium"/>
      <top style="thin"/>
      <bottom style="thick"/>
    </border>
    <border>
      <left style="thin"/>
      <right style="thick"/>
      <top style="thin"/>
      <bottom>
        <color indexed="63"/>
      </bottom>
    </border>
    <border>
      <left style="thin"/>
      <right style="thin"/>
      <top style="thin"/>
      <bottom style="thick"/>
    </border>
    <border>
      <left style="medium"/>
      <right style="medium">
        <color indexed="10"/>
      </right>
      <top style="medium">
        <color indexed="10"/>
      </top>
      <bottom style="medium">
        <color indexed="10"/>
      </bottom>
    </border>
    <border>
      <left style="medium">
        <color indexed="10"/>
      </left>
      <right style="medium">
        <color indexed="10"/>
      </right>
      <top style="medium">
        <color indexed="10"/>
      </top>
      <bottom style="medium">
        <color indexed="10"/>
      </bottom>
    </border>
    <border>
      <left style="medium"/>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style="medium"/>
      <right>
        <color indexed="63"/>
      </right>
      <top>
        <color indexed="63"/>
      </top>
      <bottom style="medium">
        <color indexed="10"/>
      </bottom>
    </border>
    <border>
      <left>
        <color indexed="63"/>
      </left>
      <right style="medium">
        <color indexed="10"/>
      </right>
      <top>
        <color indexed="63"/>
      </top>
      <bottom style="medium">
        <color indexed="10"/>
      </bottom>
    </border>
    <border>
      <left style="medium"/>
      <right style="medium">
        <color indexed="10"/>
      </right>
      <top style="medium">
        <color indexed="10"/>
      </top>
      <bottom>
        <color indexed="63"/>
      </bottom>
    </border>
    <border>
      <left style="medium"/>
      <right style="medium">
        <color indexed="10"/>
      </right>
      <top>
        <color indexed="63"/>
      </top>
      <bottom>
        <color indexed="63"/>
      </bottom>
    </border>
    <border>
      <left style="medium"/>
      <right style="medium">
        <color indexed="10"/>
      </right>
      <top>
        <color indexed="63"/>
      </top>
      <bottom style="medium">
        <color indexed="10"/>
      </bottom>
    </border>
    <border>
      <left style="thick"/>
      <right>
        <color indexed="63"/>
      </right>
      <top style="thin"/>
      <bottom style="medium"/>
    </border>
    <border>
      <left>
        <color indexed="63"/>
      </left>
      <right>
        <color indexed="63"/>
      </right>
      <top style="thin"/>
      <bottom style="medium"/>
    </border>
    <border>
      <left style="thin"/>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color indexed="63"/>
      </top>
      <bottom style="thick"/>
    </border>
    <border>
      <left style="hair"/>
      <right style="medium"/>
      <top style="thick"/>
      <bottom>
        <color indexed="63"/>
      </bottom>
    </border>
    <border>
      <left style="hair"/>
      <right style="medium"/>
      <top style="hair"/>
      <bottom style="hair"/>
    </border>
    <border>
      <left>
        <color indexed="63"/>
      </left>
      <right style="thick"/>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medium"/>
      <top style="thick"/>
      <bottom style="medium"/>
    </border>
    <border>
      <left style="medium"/>
      <right style="thick"/>
      <top style="thick"/>
      <bottom style="medium"/>
    </border>
    <border>
      <left style="thick"/>
      <right style="medium"/>
      <top style="medium"/>
      <bottom style="thick"/>
    </border>
    <border>
      <left style="medium"/>
      <right style="thick"/>
      <top style="medium"/>
      <bottom style="thick"/>
    </border>
    <border>
      <left style="thin"/>
      <right style="thin"/>
      <top style="thick"/>
      <bottom>
        <color indexed="63"/>
      </bottom>
    </border>
    <border>
      <left style="thick"/>
      <right style="thin"/>
      <top style="thick"/>
      <bottom>
        <color indexed="63"/>
      </bottom>
    </border>
    <border>
      <left style="thick"/>
      <right>
        <color indexed="63"/>
      </right>
      <top style="thin"/>
      <bottom style="thick"/>
    </border>
    <border>
      <left style="thin"/>
      <right style="thick"/>
      <top style="thin"/>
      <bottom style="thin"/>
    </border>
    <border>
      <left style="thick"/>
      <right>
        <color indexed="63"/>
      </right>
      <top style="medium"/>
      <bottom>
        <color indexed="63"/>
      </bottom>
    </border>
    <border>
      <left>
        <color indexed="63"/>
      </left>
      <right style="thin"/>
      <top style="thick"/>
      <bottom>
        <color indexed="63"/>
      </bottom>
    </border>
    <border>
      <left>
        <color indexed="63"/>
      </left>
      <right style="thick"/>
      <top>
        <color indexed="63"/>
      </top>
      <bottom style="medium"/>
    </border>
    <border>
      <left style="thin"/>
      <right style="thin"/>
      <top style="thick"/>
      <bottom style="medium"/>
    </border>
    <border>
      <left style="thick"/>
      <right>
        <color indexed="63"/>
      </right>
      <top>
        <color indexed="63"/>
      </top>
      <bottom style="medium"/>
    </border>
    <border>
      <left style="thick"/>
      <right>
        <color indexed="63"/>
      </right>
      <top style="thin"/>
      <bottom>
        <color indexed="63"/>
      </bottom>
    </border>
    <border>
      <left style="thick"/>
      <right>
        <color indexed="63"/>
      </right>
      <top style="double"/>
      <bottom>
        <color indexed="63"/>
      </bottom>
    </border>
    <border>
      <left style="thick"/>
      <right>
        <color indexed="63"/>
      </right>
      <top>
        <color indexed="63"/>
      </top>
      <bottom style="double"/>
    </border>
    <border>
      <left style="medium"/>
      <right style="thick"/>
      <top style="thin"/>
      <bottom style="thick"/>
    </border>
    <border>
      <left>
        <color indexed="63"/>
      </left>
      <right>
        <color indexed="63"/>
      </right>
      <top style="thin"/>
      <bottom style="thick"/>
    </border>
    <border>
      <left>
        <color indexed="63"/>
      </left>
      <right style="medium"/>
      <top style="thin"/>
      <bottom style="thick"/>
    </border>
    <border>
      <left style="hair"/>
      <right style="thick"/>
      <top style="hair"/>
      <bottom style="thick"/>
    </border>
    <border>
      <left style="hair"/>
      <right>
        <color indexed="63"/>
      </right>
      <top>
        <color indexed="63"/>
      </top>
      <bottom>
        <color indexed="63"/>
      </bottom>
    </border>
    <border>
      <left style="medium"/>
      <right style="medium"/>
      <top style="medium"/>
      <bottom style="thick"/>
    </border>
    <border>
      <left>
        <color indexed="63"/>
      </left>
      <right style="medium"/>
      <top>
        <color indexed="63"/>
      </top>
      <bottom style="thick"/>
    </border>
    <border>
      <left style="hair"/>
      <right style="medium"/>
      <top style="medium"/>
      <bottom style="hair"/>
    </border>
    <border>
      <left style="hair"/>
      <right style="medium"/>
      <top>
        <color indexed="63"/>
      </top>
      <bottom style="medium"/>
    </border>
    <border>
      <left style="thick"/>
      <right style="thick"/>
      <top style="hair"/>
      <bottom style="medium"/>
    </border>
    <border>
      <left style="thick"/>
      <right>
        <color indexed="63"/>
      </right>
      <top style="hair"/>
      <bottom style="thick"/>
    </border>
    <border>
      <left>
        <color indexed="63"/>
      </left>
      <right style="medium"/>
      <top style="hair"/>
      <bottom style="hair"/>
    </border>
    <border>
      <left style="thin"/>
      <right>
        <color indexed="63"/>
      </right>
      <top>
        <color indexed="63"/>
      </top>
      <bottom style="medium"/>
    </border>
    <border>
      <left>
        <color indexed="63"/>
      </left>
      <right style="medium"/>
      <top style="hair"/>
      <bottom style="medium"/>
    </border>
    <border>
      <left>
        <color indexed="63"/>
      </left>
      <right style="medium"/>
      <top style="hair"/>
      <bottom style="thin"/>
    </border>
    <border>
      <left style="thick">
        <color indexed="48"/>
      </left>
      <right style="thick">
        <color indexed="48"/>
      </right>
      <top style="thick">
        <color indexed="48"/>
      </top>
      <bottom style="thick">
        <color indexed="48"/>
      </bottom>
    </border>
    <border>
      <left style="thin"/>
      <right style="thick"/>
      <top>
        <color indexed="63"/>
      </top>
      <bottom style="medium"/>
    </border>
    <border>
      <left style="thin"/>
      <right style="thick"/>
      <top style="medium"/>
      <bottom style="thin"/>
    </border>
    <border>
      <left style="thin"/>
      <right style="thick"/>
      <top style="thin"/>
      <bottom style="thick"/>
    </border>
    <border>
      <left style="thin"/>
      <right style="thick"/>
      <top style="thin"/>
      <bottom style="medium"/>
    </border>
    <border>
      <left>
        <color indexed="63"/>
      </left>
      <right style="thick"/>
      <top style="thick"/>
      <bottom style="thick"/>
    </border>
    <border>
      <left style="medium"/>
      <right style="thick"/>
      <top style="thin"/>
      <bottom style="thin"/>
    </border>
    <border>
      <left style="thick"/>
      <right style="thick"/>
      <top style="thin"/>
      <bottom style="thin"/>
    </border>
    <border>
      <left style="thick"/>
      <right style="thick"/>
      <top style="thick"/>
      <bottom style="thin"/>
    </border>
    <border>
      <left style="thick"/>
      <right style="thick"/>
      <top style="thin"/>
      <bottom style="thick"/>
    </border>
    <border>
      <left style="thin"/>
      <right style="thin"/>
      <top>
        <color indexed="63"/>
      </top>
      <bottom style="thick"/>
    </border>
    <border>
      <left style="medium">
        <color indexed="10"/>
      </left>
      <right style="medium">
        <color indexed="10"/>
      </right>
      <top style="medium">
        <color indexed="10"/>
      </top>
      <bottom style="medium">
        <color indexed="53"/>
      </bottom>
    </border>
    <border>
      <left style="medium">
        <color indexed="10"/>
      </left>
      <right style="medium">
        <color indexed="10"/>
      </right>
      <top>
        <color indexed="63"/>
      </top>
      <bottom style="hair"/>
    </border>
    <border>
      <left style="medium">
        <color indexed="10"/>
      </left>
      <right style="medium">
        <color indexed="10"/>
      </right>
      <top style="hair"/>
      <bottom style="hair"/>
    </border>
    <border>
      <left style="thick"/>
      <right style="medium">
        <color indexed="10"/>
      </right>
      <top style="hair"/>
      <bottom style="medium">
        <color indexed="10"/>
      </bottom>
    </border>
    <border>
      <left style="medium">
        <color indexed="10"/>
      </left>
      <right style="medium">
        <color indexed="10"/>
      </right>
      <top style="hair"/>
      <bottom style="medium">
        <color indexed="10"/>
      </bottom>
    </border>
    <border>
      <left style="thick"/>
      <right style="thick"/>
      <top>
        <color indexed="63"/>
      </top>
      <bottom style="thin"/>
    </border>
    <border>
      <left>
        <color indexed="63"/>
      </left>
      <right>
        <color indexed="63"/>
      </right>
      <top>
        <color indexed="63"/>
      </top>
      <bottom style="thick"/>
    </border>
    <border>
      <left>
        <color indexed="63"/>
      </left>
      <right style="thick"/>
      <top>
        <color indexed="63"/>
      </top>
      <bottom style="thick"/>
    </border>
    <border>
      <left style="medium">
        <color indexed="8"/>
      </left>
      <right style="thin">
        <color indexed="8"/>
      </right>
      <top style="dotted">
        <color indexed="8"/>
      </top>
      <bottom style="medium"/>
    </border>
    <border>
      <left>
        <color indexed="63"/>
      </left>
      <right style="thin">
        <color indexed="8"/>
      </right>
      <top style="dotted">
        <color indexed="8"/>
      </top>
      <bottom style="medium"/>
    </border>
    <border>
      <left style="double"/>
      <right style="double"/>
      <top style="dotted">
        <color indexed="8"/>
      </top>
      <bottom style="medium"/>
    </border>
    <border>
      <left>
        <color indexed="63"/>
      </left>
      <right style="medium">
        <color indexed="8"/>
      </right>
      <top style="dotted">
        <color indexed="8"/>
      </top>
      <bottom style="medium"/>
    </border>
    <border>
      <left>
        <color indexed="63"/>
      </left>
      <right>
        <color indexed="63"/>
      </right>
      <top style="thin"/>
      <bottom style="thin"/>
    </border>
    <border>
      <left>
        <color indexed="63"/>
      </left>
      <right style="thick">
        <color indexed="11"/>
      </right>
      <top style="medium"/>
      <bottom style="medium"/>
    </border>
    <border>
      <left style="medium"/>
      <right style="medium"/>
      <top>
        <color indexed="63"/>
      </top>
      <bottom style="double"/>
    </border>
    <border>
      <left style="thin"/>
      <right>
        <color indexed="63"/>
      </right>
      <top style="double"/>
      <bottom style="thin"/>
    </border>
    <border>
      <left>
        <color indexed="63"/>
      </left>
      <right>
        <color indexed="63"/>
      </right>
      <top style="double"/>
      <bottom style="thin"/>
    </border>
    <border>
      <left style="medium"/>
      <right>
        <color indexed="63"/>
      </right>
      <top style="thin"/>
      <bottom>
        <color indexed="63"/>
      </bottom>
    </border>
    <border>
      <left style="medium">
        <color indexed="8"/>
      </left>
      <right>
        <color indexed="63"/>
      </right>
      <top>
        <color indexed="63"/>
      </top>
      <bottom style="double">
        <color indexed="10"/>
      </bottom>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thin"/>
    </border>
    <border>
      <left style="thin"/>
      <right style="thick"/>
      <top style="thick"/>
      <bottom>
        <color indexed="63"/>
      </bottom>
    </border>
    <border>
      <left style="thin"/>
      <right style="thick"/>
      <top>
        <color indexed="63"/>
      </top>
      <bottom style="thin"/>
    </border>
    <border>
      <left style="thin"/>
      <right style="thick"/>
      <top style="medium"/>
      <bottom>
        <color indexed="63"/>
      </bottom>
    </border>
    <border>
      <left style="thin"/>
      <right style="thick"/>
      <top>
        <color indexed="63"/>
      </top>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medium"/>
      <bottom style="thin"/>
    </border>
    <border>
      <left style="thick"/>
      <right>
        <color indexed="63"/>
      </right>
      <top style="thin"/>
      <bottom style="thin"/>
    </border>
    <border>
      <left style="thick"/>
      <right style="thick"/>
      <top style="medium"/>
      <bottom>
        <color indexed="63"/>
      </bottom>
    </border>
    <border>
      <left style="medium"/>
      <right>
        <color indexed="63"/>
      </right>
      <top style="medium"/>
      <bottom style="thin"/>
    </border>
    <border>
      <left>
        <color indexed="63"/>
      </left>
      <right style="thin"/>
      <top style="medium"/>
      <bottom>
        <color indexed="63"/>
      </bottom>
    </border>
    <border>
      <left>
        <color indexed="63"/>
      </left>
      <right style="thick"/>
      <top style="thin"/>
      <bottom style="thin"/>
    </border>
    <border>
      <left>
        <color indexed="63"/>
      </left>
      <right style="thin"/>
      <top>
        <color indexed="63"/>
      </top>
      <bottom style="thick"/>
    </border>
    <border>
      <left style="thick"/>
      <right>
        <color indexed="63"/>
      </right>
      <top style="medium"/>
      <bottom style="medium"/>
    </border>
    <border>
      <left>
        <color indexed="63"/>
      </left>
      <right style="medium"/>
      <top style="thin"/>
      <bottom>
        <color indexed="63"/>
      </bottom>
    </border>
    <border>
      <left style="double"/>
      <right>
        <color indexed="63"/>
      </right>
      <top style="dotted">
        <color indexed="8"/>
      </top>
      <bottom style="double">
        <color indexed="8"/>
      </bottom>
    </border>
    <border>
      <left>
        <color indexed="63"/>
      </left>
      <right>
        <color indexed="63"/>
      </right>
      <top style="dotted">
        <color indexed="8"/>
      </top>
      <bottom style="double">
        <color indexed="8"/>
      </bottom>
    </border>
    <border>
      <left>
        <color indexed="63"/>
      </left>
      <right style="double"/>
      <top style="dotted">
        <color indexed="8"/>
      </top>
      <bottom style="double">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0" fillId="25" borderId="0" applyNumberFormat="0" applyBorder="0" applyAlignment="0" applyProtection="0"/>
    <xf numFmtId="0" fontId="151" fillId="26" borderId="1" applyNumberFormat="0" applyAlignment="0" applyProtection="0"/>
    <xf numFmtId="0" fontId="152" fillId="26" borderId="2" applyNumberFormat="0" applyAlignment="0" applyProtection="0"/>
    <xf numFmtId="0" fontId="8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53" fillId="27" borderId="2" applyNumberFormat="0" applyAlignment="0" applyProtection="0"/>
    <xf numFmtId="0" fontId="154" fillId="0" borderId="3" applyNumberFormat="0" applyFill="0" applyAlignment="0" applyProtection="0"/>
    <xf numFmtId="0" fontId="155" fillId="0" borderId="0" applyNumberFormat="0" applyFill="0" applyBorder="0" applyAlignment="0" applyProtection="0"/>
    <xf numFmtId="0" fontId="156" fillId="28" borderId="0" applyNumberFormat="0" applyBorder="0" applyAlignment="0" applyProtection="0"/>
    <xf numFmtId="0" fontId="88" fillId="0" borderId="0" applyNumberFormat="0" applyFill="0" applyBorder="0" applyAlignment="0" applyProtection="0"/>
    <xf numFmtId="0" fontId="1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58" fillId="31" borderId="0" applyNumberFormat="0" applyBorder="0" applyAlignment="0" applyProtection="0"/>
    <xf numFmtId="0" fontId="159" fillId="0" borderId="0" applyNumberFormat="0" applyFill="0" applyBorder="0" applyAlignment="0" applyProtection="0"/>
    <xf numFmtId="0" fontId="160" fillId="0" borderId="5" applyNumberFormat="0" applyFill="0" applyAlignment="0" applyProtection="0"/>
    <xf numFmtId="0" fontId="161" fillId="0" borderId="6" applyNumberFormat="0" applyFill="0" applyAlignment="0" applyProtection="0"/>
    <xf numFmtId="0" fontId="162" fillId="0" borderId="7" applyNumberFormat="0" applyFill="0" applyAlignment="0" applyProtection="0"/>
    <xf numFmtId="0" fontId="162" fillId="0" borderId="0" applyNumberFormat="0" applyFill="0" applyBorder="0" applyAlignment="0" applyProtection="0"/>
    <xf numFmtId="0" fontId="16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164" fillId="0" borderId="0" applyNumberFormat="0" applyFill="0" applyBorder="0" applyAlignment="0" applyProtection="0"/>
    <xf numFmtId="0" fontId="165" fillId="32" borderId="9" applyNumberFormat="0" applyAlignment="0" applyProtection="0"/>
  </cellStyleXfs>
  <cellXfs count="1403">
    <xf numFmtId="0" fontId="0" fillId="0" borderId="0" xfId="0" applyAlignment="1">
      <alignment/>
    </xf>
    <xf numFmtId="0" fontId="0" fillId="0" borderId="0" xfId="0" applyBorder="1" applyAlignment="1">
      <alignment/>
    </xf>
    <xf numFmtId="0" fontId="0" fillId="0" borderId="0" xfId="0" applyBorder="1" applyAlignment="1">
      <alignment horizontal="left"/>
    </xf>
    <xf numFmtId="0" fontId="0" fillId="0" borderId="10" xfId="0" applyBorder="1" applyAlignment="1">
      <alignment/>
    </xf>
    <xf numFmtId="0" fontId="0" fillId="0" borderId="0" xfId="0" applyAlignment="1">
      <alignment horizontal="center"/>
    </xf>
    <xf numFmtId="0" fontId="0" fillId="0" borderId="0" xfId="0" applyFont="1" applyBorder="1" applyAlignment="1">
      <alignment horizontal="left"/>
    </xf>
    <xf numFmtId="0" fontId="10" fillId="0" borderId="11" xfId="0" applyFont="1" applyBorder="1" applyAlignment="1" applyProtection="1">
      <alignment/>
      <protection/>
    </xf>
    <xf numFmtId="0" fontId="10" fillId="0" borderId="12" xfId="0" applyFont="1" applyBorder="1" applyAlignment="1" applyProtection="1">
      <alignment/>
      <protection/>
    </xf>
    <xf numFmtId="0" fontId="10" fillId="0" borderId="13" xfId="0" applyFont="1" applyBorder="1" applyAlignment="1" applyProtection="1">
      <alignment/>
      <protection/>
    </xf>
    <xf numFmtId="0" fontId="10" fillId="0" borderId="14" xfId="0" applyFont="1" applyBorder="1" applyAlignment="1" applyProtection="1">
      <alignment/>
      <protection/>
    </xf>
    <xf numFmtId="0" fontId="10" fillId="0" borderId="0" xfId="0" applyFont="1" applyBorder="1" applyAlignment="1" applyProtection="1">
      <alignment/>
      <protection/>
    </xf>
    <xf numFmtId="0" fontId="10" fillId="0" borderId="15" xfId="0" applyFont="1" applyBorder="1" applyAlignment="1" applyProtection="1">
      <alignment/>
      <protection/>
    </xf>
    <xf numFmtId="0" fontId="10" fillId="0" borderId="16" xfId="0" applyFont="1" applyBorder="1" applyAlignment="1" applyProtection="1">
      <alignment horizontal="center"/>
      <protection/>
    </xf>
    <xf numFmtId="0" fontId="10" fillId="0" borderId="17" xfId="0" applyFont="1" applyBorder="1" applyAlignment="1" applyProtection="1">
      <alignment horizontal="center"/>
      <protection/>
    </xf>
    <xf numFmtId="14" fontId="10" fillId="0" borderId="18" xfId="0" applyNumberFormat="1" applyFont="1" applyBorder="1" applyAlignment="1" applyProtection="1">
      <alignment/>
      <protection/>
    </xf>
    <xf numFmtId="183" fontId="10" fillId="0" borderId="19" xfId="0" applyNumberFormat="1" applyFont="1" applyBorder="1" applyAlignment="1" applyProtection="1">
      <alignment/>
      <protection/>
    </xf>
    <xf numFmtId="14" fontId="10" fillId="0" borderId="14" xfId="0" applyNumberFormat="1" applyFont="1" applyBorder="1" applyAlignment="1" applyProtection="1">
      <alignment horizontal="right"/>
      <protection/>
    </xf>
    <xf numFmtId="0" fontId="10" fillId="0" borderId="14" xfId="0" applyFont="1" applyBorder="1" applyAlignment="1" applyProtection="1">
      <alignment horizontal="right"/>
      <protection/>
    </xf>
    <xf numFmtId="14" fontId="10" fillId="0" borderId="20" xfId="0" applyNumberFormat="1" applyFont="1" applyBorder="1" applyAlignment="1" applyProtection="1">
      <alignment/>
      <protection/>
    </xf>
    <xf numFmtId="188" fontId="16" fillId="0" borderId="21" xfId="0" applyNumberFormat="1" applyFont="1" applyBorder="1" applyAlignment="1" applyProtection="1">
      <alignment horizontal="center" vertical="center"/>
      <protection/>
    </xf>
    <xf numFmtId="189" fontId="16" fillId="0" borderId="22" xfId="0" applyNumberFormat="1" applyFont="1" applyBorder="1" applyAlignment="1" applyProtection="1">
      <alignment horizontal="center" vertical="center"/>
      <protection/>
    </xf>
    <xf numFmtId="189" fontId="16" fillId="0" borderId="23" xfId="0" applyNumberFormat="1" applyFont="1" applyBorder="1" applyAlignment="1" applyProtection="1">
      <alignment horizontal="center" vertical="center"/>
      <protection/>
    </xf>
    <xf numFmtId="189" fontId="16" fillId="0" borderId="24" xfId="0" applyNumberFormat="1" applyFont="1" applyBorder="1" applyAlignment="1" applyProtection="1">
      <alignment horizontal="center" vertical="center"/>
      <protection/>
    </xf>
    <xf numFmtId="188" fontId="17" fillId="0" borderId="25" xfId="0" applyNumberFormat="1" applyFont="1" applyBorder="1" applyAlignment="1" applyProtection="1">
      <alignment horizontal="center" vertical="center"/>
      <protection/>
    </xf>
    <xf numFmtId="189" fontId="16" fillId="0" borderId="26" xfId="0" applyNumberFormat="1" applyFont="1" applyBorder="1" applyAlignment="1" applyProtection="1">
      <alignment horizontal="center" vertical="center"/>
      <protection/>
    </xf>
    <xf numFmtId="189" fontId="16" fillId="0" borderId="0" xfId="0" applyNumberFormat="1" applyFont="1" applyBorder="1" applyAlignment="1" applyProtection="1">
      <alignment horizontal="center" vertical="center"/>
      <protection/>
    </xf>
    <xf numFmtId="189" fontId="16" fillId="0" borderId="27" xfId="0" applyNumberFormat="1" applyFont="1" applyBorder="1" applyAlignment="1" applyProtection="1">
      <alignment horizontal="center" vertical="center"/>
      <protection/>
    </xf>
    <xf numFmtId="188" fontId="17" fillId="0" borderId="28" xfId="0" applyNumberFormat="1" applyFont="1" applyBorder="1" applyAlignment="1" applyProtection="1">
      <alignment horizontal="center" vertical="center"/>
      <protection/>
    </xf>
    <xf numFmtId="189" fontId="18" fillId="0" borderId="29" xfId="0" applyNumberFormat="1" applyFont="1" applyBorder="1" applyAlignment="1" applyProtection="1">
      <alignment horizontal="center" vertical="center"/>
      <protection/>
    </xf>
    <xf numFmtId="189" fontId="16" fillId="0" borderId="30" xfId="0" applyNumberFormat="1" applyFont="1" applyBorder="1" applyAlignment="1" applyProtection="1">
      <alignment horizontal="center" vertical="center"/>
      <protection/>
    </xf>
    <xf numFmtId="189" fontId="16" fillId="0" borderId="29" xfId="0" applyNumberFormat="1" applyFont="1" applyBorder="1" applyAlignment="1" applyProtection="1">
      <alignment horizontal="center" vertical="center"/>
      <protection/>
    </xf>
    <xf numFmtId="189" fontId="18" fillId="0" borderId="31" xfId="0" applyNumberFormat="1" applyFont="1" applyBorder="1" applyAlignment="1" applyProtection="1">
      <alignment horizontal="center" vertical="center"/>
      <protection/>
    </xf>
    <xf numFmtId="188" fontId="16" fillId="0" borderId="32" xfId="0" applyNumberFormat="1" applyFont="1" applyFill="1" applyBorder="1" applyAlignment="1" applyProtection="1">
      <alignment horizontal="center" vertical="center"/>
      <protection/>
    </xf>
    <xf numFmtId="189" fontId="18" fillId="33" borderId="33" xfId="0" applyNumberFormat="1" applyFont="1" applyFill="1" applyBorder="1" applyAlignment="1" applyProtection="1">
      <alignment vertical="center"/>
      <protection/>
    </xf>
    <xf numFmtId="189" fontId="19" fillId="0" borderId="34" xfId="0" applyNumberFormat="1" applyFont="1" applyBorder="1" applyAlignment="1" applyProtection="1">
      <alignment vertical="center"/>
      <protection/>
    </xf>
    <xf numFmtId="189" fontId="19" fillId="0" borderId="33" xfId="0" applyNumberFormat="1" applyFont="1" applyBorder="1" applyAlignment="1" applyProtection="1">
      <alignment vertical="center"/>
      <protection/>
    </xf>
    <xf numFmtId="189" fontId="19" fillId="0" borderId="35" xfId="0" applyNumberFormat="1" applyFont="1" applyBorder="1" applyAlignment="1" applyProtection="1">
      <alignment vertical="center"/>
      <protection/>
    </xf>
    <xf numFmtId="188" fontId="16" fillId="0" borderId="36" xfId="0" applyNumberFormat="1" applyFont="1" applyFill="1" applyBorder="1" applyAlignment="1" applyProtection="1">
      <alignment horizontal="center" vertical="center"/>
      <protection/>
    </xf>
    <xf numFmtId="189" fontId="19" fillId="0" borderId="37" xfId="0" applyNumberFormat="1" applyFont="1" applyBorder="1" applyAlignment="1" applyProtection="1">
      <alignment vertical="center"/>
      <protection/>
    </xf>
    <xf numFmtId="189" fontId="19" fillId="0" borderId="38" xfId="0" applyNumberFormat="1" applyFont="1" applyBorder="1" applyAlignment="1" applyProtection="1">
      <alignment vertical="center"/>
      <protection/>
    </xf>
    <xf numFmtId="189" fontId="19" fillId="0" borderId="39" xfId="0" applyNumberFormat="1" applyFont="1" applyBorder="1" applyAlignment="1" applyProtection="1">
      <alignment vertical="center"/>
      <protection/>
    </xf>
    <xf numFmtId="188" fontId="19" fillId="0" borderId="40" xfId="0" applyNumberFormat="1" applyFont="1" applyBorder="1" applyAlignment="1" applyProtection="1">
      <alignment horizontal="center" vertical="center"/>
      <protection/>
    </xf>
    <xf numFmtId="189" fontId="19" fillId="0" borderId="41" xfId="0" applyNumberFormat="1" applyFont="1" applyBorder="1" applyAlignment="1" applyProtection="1">
      <alignment vertical="center"/>
      <protection/>
    </xf>
    <xf numFmtId="189" fontId="19" fillId="0" borderId="33" xfId="0" applyNumberFormat="1" applyFont="1" applyFill="1" applyBorder="1" applyAlignment="1" applyProtection="1">
      <alignment vertical="center"/>
      <protection/>
    </xf>
    <xf numFmtId="188" fontId="19" fillId="0" borderId="42" xfId="0" applyNumberFormat="1" applyFont="1" applyBorder="1" applyAlignment="1" applyProtection="1">
      <alignment horizontal="center" vertical="center"/>
      <protection/>
    </xf>
    <xf numFmtId="189" fontId="19" fillId="0" borderId="29" xfId="0" applyNumberFormat="1" applyFont="1" applyBorder="1" applyAlignment="1" applyProtection="1">
      <alignment vertical="center"/>
      <protection/>
    </xf>
    <xf numFmtId="189" fontId="19" fillId="0" borderId="30" xfId="0" applyNumberFormat="1" applyFont="1" applyBorder="1" applyAlignment="1" applyProtection="1">
      <alignment vertical="center"/>
      <protection/>
    </xf>
    <xf numFmtId="189" fontId="19" fillId="0" borderId="43" xfId="0" applyNumberFormat="1" applyFont="1" applyBorder="1" applyAlignment="1" applyProtection="1">
      <alignment vertical="center"/>
      <protection/>
    </xf>
    <xf numFmtId="10" fontId="10" fillId="0" borderId="44" xfId="51" applyNumberFormat="1" applyFont="1" applyBorder="1" applyAlignment="1" applyProtection="1">
      <alignment horizontal="center"/>
      <protection/>
    </xf>
    <xf numFmtId="0" fontId="0" fillId="0" borderId="0" xfId="0" applyBorder="1" applyAlignment="1">
      <alignment horizontal="center"/>
    </xf>
    <xf numFmtId="0" fontId="0" fillId="0" borderId="45" xfId="0" applyBorder="1" applyAlignment="1">
      <alignment horizontal="center"/>
    </xf>
    <xf numFmtId="0" fontId="6" fillId="0" borderId="0" xfId="0" applyFont="1" applyAlignment="1">
      <alignment/>
    </xf>
    <xf numFmtId="0" fontId="0" fillId="0" borderId="0" xfId="0" applyAlignment="1">
      <alignment horizontal="right"/>
    </xf>
    <xf numFmtId="0" fontId="33" fillId="0" borderId="0" xfId="0" applyFont="1" applyAlignment="1">
      <alignment/>
    </xf>
    <xf numFmtId="0" fontId="34" fillId="0" borderId="0" xfId="0" applyFont="1" applyAlignment="1">
      <alignment/>
    </xf>
    <xf numFmtId="0" fontId="0" fillId="0" borderId="0" xfId="0" applyFont="1" applyAlignment="1">
      <alignment/>
    </xf>
    <xf numFmtId="0" fontId="35" fillId="0" borderId="0" xfId="0" applyFont="1" applyAlignment="1">
      <alignment/>
    </xf>
    <xf numFmtId="0" fontId="36" fillId="0" borderId="0" xfId="0" applyFont="1" applyAlignment="1">
      <alignment/>
    </xf>
    <xf numFmtId="0" fontId="39" fillId="0" borderId="0" xfId="0" applyFont="1" applyAlignment="1">
      <alignment horizontal="right"/>
    </xf>
    <xf numFmtId="0" fontId="35" fillId="0" borderId="0" xfId="0" applyFont="1" applyAlignment="1">
      <alignment horizontal="right"/>
    </xf>
    <xf numFmtId="0" fontId="26" fillId="0" borderId="0" xfId="0" applyFont="1" applyAlignment="1">
      <alignment/>
    </xf>
    <xf numFmtId="0" fontId="42" fillId="0" borderId="0" xfId="0" applyFont="1" applyAlignment="1">
      <alignment/>
    </xf>
    <xf numFmtId="0" fontId="42" fillId="0" borderId="0" xfId="0" applyFont="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5" xfId="0" applyFont="1" applyBorder="1" applyAlignment="1">
      <alignment horizontal="center"/>
    </xf>
    <xf numFmtId="0" fontId="0" fillId="0" borderId="49" xfId="0" applyFont="1" applyBorder="1" applyAlignment="1">
      <alignment horizontal="center"/>
    </xf>
    <xf numFmtId="0" fontId="0" fillId="0" borderId="50" xfId="0" applyFont="1" applyBorder="1" applyAlignment="1">
      <alignment horizontal="center"/>
    </xf>
    <xf numFmtId="0" fontId="0" fillId="0" borderId="51" xfId="0" applyBorder="1" applyAlignment="1">
      <alignment horizontal="center"/>
    </xf>
    <xf numFmtId="0" fontId="36" fillId="0" borderId="52"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54" xfId="0" applyFont="1" applyBorder="1" applyAlignment="1">
      <alignment horizontal="center" vertical="center" wrapText="1"/>
    </xf>
    <xf numFmtId="0" fontId="36" fillId="0" borderId="17" xfId="0" applyFont="1" applyBorder="1" applyAlignment="1">
      <alignment horizontal="center" vertical="center" wrapText="1"/>
    </xf>
    <xf numFmtId="0" fontId="26" fillId="0" borderId="55" xfId="0" applyFont="1" applyBorder="1" applyAlignment="1">
      <alignment horizontal="center" vertical="center" wrapText="1"/>
    </xf>
    <xf numFmtId="0" fontId="36" fillId="0" borderId="56" xfId="0" applyFont="1" applyBorder="1" applyAlignment="1">
      <alignment horizontal="center" vertical="center" wrapText="1"/>
    </xf>
    <xf numFmtId="0" fontId="4" fillId="0" borderId="17" xfId="0" applyFont="1" applyBorder="1" applyAlignment="1">
      <alignment horizontal="center" vertical="center" wrapText="1"/>
    </xf>
    <xf numFmtId="0" fontId="26" fillId="0" borderId="57"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59" xfId="0" applyFont="1" applyBorder="1" applyAlignment="1">
      <alignment horizontal="center" vertical="center" wrapText="1"/>
    </xf>
    <xf numFmtId="0" fontId="35" fillId="34" borderId="60" xfId="0" applyFont="1" applyFill="1" applyBorder="1" applyAlignment="1">
      <alignment horizontal="left"/>
    </xf>
    <xf numFmtId="0" fontId="36" fillId="34" borderId="0" xfId="0" applyFont="1" applyFill="1" applyBorder="1" applyAlignment="1">
      <alignment/>
    </xf>
    <xf numFmtId="3" fontId="36" fillId="34" borderId="61" xfId="0" applyNumberFormat="1" applyFont="1" applyFill="1" applyBorder="1" applyAlignment="1">
      <alignment/>
    </xf>
    <xf numFmtId="3" fontId="36" fillId="34" borderId="62" xfId="0" applyNumberFormat="1" applyFont="1" applyFill="1" applyBorder="1" applyAlignment="1">
      <alignment/>
    </xf>
    <xf numFmtId="3" fontId="36" fillId="34" borderId="0" xfId="0" applyNumberFormat="1" applyFont="1" applyFill="1" applyBorder="1" applyAlignment="1">
      <alignment/>
    </xf>
    <xf numFmtId="3" fontId="36" fillId="34" borderId="63" xfId="0" applyNumberFormat="1" applyFont="1" applyFill="1" applyBorder="1" applyAlignment="1">
      <alignment/>
    </xf>
    <xf numFmtId="3" fontId="36" fillId="34" borderId="64" xfId="0" applyNumberFormat="1" applyFont="1" applyFill="1" applyBorder="1" applyAlignment="1">
      <alignment horizontal="left"/>
    </xf>
    <xf numFmtId="4" fontId="36" fillId="34" borderId="65" xfId="0" applyNumberFormat="1" applyFont="1" applyFill="1" applyBorder="1" applyAlignment="1">
      <alignment/>
    </xf>
    <xf numFmtId="3" fontId="36" fillId="34" borderId="66" xfId="0" applyNumberFormat="1" applyFont="1" applyFill="1" applyBorder="1" applyAlignment="1">
      <alignment/>
    </xf>
    <xf numFmtId="3" fontId="36" fillId="0" borderId="67" xfId="0" applyNumberFormat="1" applyFont="1" applyBorder="1" applyAlignment="1">
      <alignment/>
    </xf>
    <xf numFmtId="0" fontId="36" fillId="0" borderId="0" xfId="0" applyFont="1" applyBorder="1" applyAlignment="1">
      <alignment/>
    </xf>
    <xf numFmtId="0" fontId="35" fillId="34" borderId="62" xfId="0" applyFont="1" applyFill="1" applyBorder="1" applyAlignment="1">
      <alignment horizontal="left"/>
    </xf>
    <xf numFmtId="0" fontId="36" fillId="34" borderId="62" xfId="0" applyFont="1" applyFill="1" applyBorder="1" applyAlignment="1">
      <alignment/>
    </xf>
    <xf numFmtId="3" fontId="36" fillId="0" borderId="0" xfId="0" applyNumberFormat="1" applyFont="1" applyBorder="1" applyAlignment="1">
      <alignment vertical="center"/>
    </xf>
    <xf numFmtId="2" fontId="36" fillId="0" borderId="68" xfId="0" applyNumberFormat="1" applyFont="1" applyBorder="1" applyAlignment="1">
      <alignment horizontal="center"/>
    </xf>
    <xf numFmtId="3" fontId="36" fillId="0" borderId="10" xfId="0" applyNumberFormat="1" applyFont="1" applyBorder="1" applyAlignment="1">
      <alignment horizontal="center"/>
    </xf>
    <xf numFmtId="3" fontId="36" fillId="0" borderId="69" xfId="0" applyNumberFormat="1" applyFont="1" applyBorder="1" applyAlignment="1">
      <alignment/>
    </xf>
    <xf numFmtId="0" fontId="36" fillId="35" borderId="70" xfId="0" applyFont="1" applyFill="1" applyBorder="1" applyAlignment="1">
      <alignment horizontal="center"/>
    </xf>
    <xf numFmtId="0" fontId="36" fillId="0" borderId="70" xfId="0" applyFont="1" applyBorder="1" applyAlignment="1">
      <alignment/>
    </xf>
    <xf numFmtId="0" fontId="36" fillId="0" borderId="71" xfId="0" applyFont="1" applyBorder="1" applyAlignment="1">
      <alignment/>
    </xf>
    <xf numFmtId="3" fontId="36" fillId="0" borderId="71" xfId="0" applyNumberFormat="1" applyFont="1" applyBorder="1" applyAlignment="1">
      <alignment/>
    </xf>
    <xf numFmtId="3" fontId="36" fillId="0" borderId="44" xfId="0" applyNumberFormat="1" applyFont="1" applyBorder="1" applyAlignment="1">
      <alignment/>
    </xf>
    <xf numFmtId="3" fontId="36" fillId="0" borderId="48" xfId="0" applyNumberFormat="1" applyFont="1" applyBorder="1" applyAlignment="1">
      <alignment/>
    </xf>
    <xf numFmtId="2" fontId="36" fillId="0" borderId="72" xfId="0" applyNumberFormat="1" applyFont="1" applyBorder="1" applyAlignment="1">
      <alignment horizontal="center"/>
    </xf>
    <xf numFmtId="2" fontId="36" fillId="0" borderId="73" xfId="0" applyNumberFormat="1" applyFont="1" applyBorder="1" applyAlignment="1">
      <alignment/>
    </xf>
    <xf numFmtId="2" fontId="36" fillId="0" borderId="74" xfId="0" applyNumberFormat="1" applyFont="1" applyBorder="1" applyAlignment="1">
      <alignment horizontal="center"/>
    </xf>
    <xf numFmtId="3" fontId="36" fillId="0" borderId="75" xfId="0" applyNumberFormat="1" applyFont="1" applyBorder="1" applyAlignment="1">
      <alignment horizontal="right"/>
    </xf>
    <xf numFmtId="3" fontId="36" fillId="0" borderId="76" xfId="0" applyNumberFormat="1" applyFont="1" applyBorder="1" applyAlignment="1">
      <alignment horizontal="right"/>
    </xf>
    <xf numFmtId="3" fontId="36" fillId="0" borderId="77" xfId="0" applyNumberFormat="1" applyFont="1" applyBorder="1" applyAlignment="1">
      <alignment/>
    </xf>
    <xf numFmtId="2" fontId="36" fillId="0" borderId="10" xfId="0" applyNumberFormat="1" applyFont="1" applyBorder="1" applyAlignment="1">
      <alignment horizontal="center"/>
    </xf>
    <xf numFmtId="2" fontId="36" fillId="0" borderId="44" xfId="0" applyNumberFormat="1" applyFont="1" applyBorder="1" applyAlignment="1">
      <alignment/>
    </xf>
    <xf numFmtId="2" fontId="36" fillId="0" borderId="78" xfId="0" applyNumberFormat="1" applyFont="1" applyBorder="1" applyAlignment="1">
      <alignment horizontal="center"/>
    </xf>
    <xf numFmtId="3" fontId="36" fillId="0" borderId="46" xfId="0" applyNumberFormat="1" applyFont="1" applyBorder="1" applyAlignment="1">
      <alignment horizontal="right"/>
    </xf>
    <xf numFmtId="0" fontId="36" fillId="35" borderId="79" xfId="0" applyFont="1" applyFill="1" applyBorder="1" applyAlignment="1">
      <alignment horizontal="center"/>
    </xf>
    <xf numFmtId="0" fontId="36" fillId="0" borderId="80" xfId="0" applyFont="1" applyBorder="1" applyAlignment="1">
      <alignment/>
    </xf>
    <xf numFmtId="0" fontId="36" fillId="0" borderId="15" xfId="0" applyFont="1" applyBorder="1" applyAlignment="1">
      <alignment/>
    </xf>
    <xf numFmtId="3" fontId="36" fillId="0" borderId="15" xfId="0" applyNumberFormat="1" applyFont="1" applyBorder="1" applyAlignment="1">
      <alignment/>
    </xf>
    <xf numFmtId="3" fontId="36" fillId="0" borderId="81" xfId="0" applyNumberFormat="1" applyFont="1" applyBorder="1" applyAlignment="1">
      <alignment/>
    </xf>
    <xf numFmtId="3" fontId="36" fillId="0" borderId="82" xfId="0" applyNumberFormat="1" applyFont="1" applyBorder="1" applyAlignment="1">
      <alignment/>
    </xf>
    <xf numFmtId="2" fontId="36" fillId="0" borderId="83" xfId="0" applyNumberFormat="1" applyFont="1" applyBorder="1" applyAlignment="1">
      <alignment horizontal="center"/>
    </xf>
    <xf numFmtId="0" fontId="36" fillId="0" borderId="81" xfId="0" applyFont="1" applyBorder="1" applyAlignment="1">
      <alignment/>
    </xf>
    <xf numFmtId="2" fontId="36" fillId="0" borderId="84" xfId="0" applyNumberFormat="1" applyFont="1" applyBorder="1" applyAlignment="1">
      <alignment horizontal="center"/>
    </xf>
    <xf numFmtId="2" fontId="36" fillId="0" borderId="85" xfId="0" applyNumberFormat="1" applyFont="1" applyBorder="1" applyAlignment="1">
      <alignment horizontal="right"/>
    </xf>
    <xf numFmtId="0" fontId="36" fillId="0" borderId="69" xfId="0" applyFont="1" applyBorder="1" applyAlignment="1">
      <alignment horizontal="right"/>
    </xf>
    <xf numFmtId="0" fontId="36" fillId="0" borderId="0" xfId="0" applyFont="1" applyAlignment="1">
      <alignment vertical="center"/>
    </xf>
    <xf numFmtId="0" fontId="43" fillId="0" borderId="16" xfId="0" applyFont="1" applyBorder="1" applyAlignment="1">
      <alignment vertical="center"/>
    </xf>
    <xf numFmtId="3" fontId="36" fillId="0" borderId="53" xfId="0" applyNumberFormat="1" applyFont="1" applyBorder="1" applyAlignment="1">
      <alignment vertical="center"/>
    </xf>
    <xf numFmtId="3" fontId="36" fillId="0" borderId="17" xfId="0" applyNumberFormat="1" applyFont="1" applyBorder="1" applyAlignment="1">
      <alignment vertical="center"/>
    </xf>
    <xf numFmtId="3" fontId="36" fillId="0" borderId="86" xfId="0" applyNumberFormat="1" applyFont="1" applyBorder="1" applyAlignment="1">
      <alignment vertical="center"/>
    </xf>
    <xf numFmtId="0" fontId="36" fillId="0" borderId="0" xfId="0" applyFont="1" applyBorder="1" applyAlignment="1">
      <alignment horizontal="center" vertical="center"/>
    </xf>
    <xf numFmtId="0" fontId="36" fillId="0" borderId="87" xfId="0" applyFont="1" applyBorder="1" applyAlignment="1">
      <alignment vertical="center"/>
    </xf>
    <xf numFmtId="3" fontId="36" fillId="0" borderId="88" xfId="0" applyNumberFormat="1" applyFont="1" applyBorder="1" applyAlignment="1">
      <alignment horizontal="right" vertical="center"/>
    </xf>
    <xf numFmtId="3" fontId="36" fillId="0" borderId="59" xfId="0" applyNumberFormat="1" applyFont="1" applyBorder="1" applyAlignment="1">
      <alignment horizontal="right" vertical="center"/>
    </xf>
    <xf numFmtId="0" fontId="6" fillId="0" borderId="0" xfId="0" applyFont="1" applyAlignment="1">
      <alignment vertical="center"/>
    </xf>
    <xf numFmtId="0" fontId="43" fillId="0" borderId="0" xfId="0" applyFont="1" applyBorder="1" applyAlignment="1">
      <alignment vertical="center"/>
    </xf>
    <xf numFmtId="3" fontId="4" fillId="0" borderId="0" xfId="0" applyNumberFormat="1" applyFont="1" applyBorder="1" applyAlignment="1">
      <alignment vertical="center"/>
    </xf>
    <xf numFmtId="3" fontId="35" fillId="0" borderId="63" xfId="0" applyNumberFormat="1" applyFont="1" applyBorder="1" applyAlignment="1">
      <alignment vertical="center"/>
    </xf>
    <xf numFmtId="0" fontId="35" fillId="0" borderId="63" xfId="0" applyFont="1" applyBorder="1" applyAlignment="1">
      <alignment horizontal="center" vertical="center"/>
    </xf>
    <xf numFmtId="0" fontId="4" fillId="0" borderId="0" xfId="0" applyFont="1" applyAlignment="1">
      <alignment vertical="center"/>
    </xf>
    <xf numFmtId="3" fontId="35" fillId="0" borderId="89" xfId="0" applyNumberFormat="1" applyFont="1" applyBorder="1" applyAlignment="1">
      <alignment vertical="center"/>
    </xf>
    <xf numFmtId="0" fontId="35" fillId="0" borderId="90" xfId="0" applyFont="1" applyBorder="1" applyAlignment="1">
      <alignment horizontal="center" vertical="center"/>
    </xf>
    <xf numFmtId="3" fontId="35" fillId="0" borderId="91" xfId="0" applyNumberFormat="1" applyFont="1" applyBorder="1" applyAlignment="1">
      <alignment vertical="center"/>
    </xf>
    <xf numFmtId="0" fontId="39" fillId="0" borderId="0" xfId="0" applyFont="1" applyBorder="1" applyAlignment="1">
      <alignment horizontal="center" vertical="center"/>
    </xf>
    <xf numFmtId="0" fontId="39" fillId="0" borderId="0" xfId="0" applyFont="1" applyAlignment="1">
      <alignment vertical="center"/>
    </xf>
    <xf numFmtId="0" fontId="39" fillId="0" borderId="92" xfId="0" applyFont="1" applyBorder="1" applyAlignment="1">
      <alignment vertical="center"/>
    </xf>
    <xf numFmtId="3" fontId="4" fillId="0" borderId="93" xfId="0" applyNumberFormat="1" applyFont="1" applyBorder="1" applyAlignment="1">
      <alignment horizontal="center" vertical="center"/>
    </xf>
    <xf numFmtId="3" fontId="4" fillId="0" borderId="51" xfId="0" applyNumberFormat="1" applyFont="1" applyBorder="1" applyAlignment="1">
      <alignment horizontal="center" vertical="center"/>
    </xf>
    <xf numFmtId="0" fontId="49" fillId="0" borderId="94" xfId="0" applyFont="1" applyBorder="1" applyAlignment="1">
      <alignment horizontal="center" vertical="center"/>
    </xf>
    <xf numFmtId="0" fontId="50" fillId="0" borderId="0" xfId="0" applyFont="1" applyAlignment="1">
      <alignment vertical="center"/>
    </xf>
    <xf numFmtId="0" fontId="0" fillId="0" borderId="87" xfId="0" applyFont="1" applyBorder="1" applyAlignment="1">
      <alignment/>
    </xf>
    <xf numFmtId="3" fontId="4" fillId="0" borderId="0" xfId="0" applyNumberFormat="1" applyFont="1" applyBorder="1" applyAlignment="1">
      <alignment horizontal="center" vertical="center"/>
    </xf>
    <xf numFmtId="3" fontId="4" fillId="0" borderId="69" xfId="0" applyNumberFormat="1" applyFont="1" applyBorder="1" applyAlignment="1">
      <alignment horizontal="center" vertical="center"/>
    </xf>
    <xf numFmtId="0" fontId="49" fillId="0" borderId="95" xfId="0" applyFont="1" applyBorder="1" applyAlignment="1">
      <alignment horizontal="center" vertical="center" wrapText="1"/>
    </xf>
    <xf numFmtId="3" fontId="4" fillId="0" borderId="16" xfId="0" applyNumberFormat="1" applyFont="1" applyBorder="1" applyAlignment="1">
      <alignment vertical="center"/>
    </xf>
    <xf numFmtId="3" fontId="4" fillId="0" borderId="17" xfId="0" applyNumberFormat="1" applyFont="1" applyBorder="1" applyAlignment="1">
      <alignment vertical="center"/>
    </xf>
    <xf numFmtId="0" fontId="39" fillId="0" borderId="0" xfId="0" applyFont="1" applyBorder="1" applyAlignment="1">
      <alignment vertical="center"/>
    </xf>
    <xf numFmtId="0" fontId="6" fillId="0" borderId="0" xfId="0" applyFont="1" applyBorder="1" applyAlignment="1">
      <alignment vertical="center"/>
    </xf>
    <xf numFmtId="0" fontId="39" fillId="0" borderId="87" xfId="0" applyFont="1" applyBorder="1" applyAlignment="1">
      <alignment vertical="center"/>
    </xf>
    <xf numFmtId="0" fontId="4" fillId="35" borderId="96" xfId="0" applyFont="1" applyFill="1" applyBorder="1" applyAlignment="1">
      <alignment horizontal="center"/>
    </xf>
    <xf numFmtId="0" fontId="4" fillId="0" borderId="96" xfId="0" applyFont="1" applyBorder="1" applyAlignment="1">
      <alignment/>
    </xf>
    <xf numFmtId="0" fontId="4" fillId="0" borderId="97" xfId="0" applyFont="1" applyBorder="1" applyAlignment="1">
      <alignment/>
    </xf>
    <xf numFmtId="3" fontId="52" fillId="0" borderId="97" xfId="0" applyNumberFormat="1" applyFont="1" applyBorder="1" applyAlignment="1">
      <alignment/>
    </xf>
    <xf numFmtId="3" fontId="53" fillId="0" borderId="98" xfId="0" applyNumberFormat="1" applyFont="1" applyBorder="1" applyAlignment="1">
      <alignment/>
    </xf>
    <xf numFmtId="0" fontId="4" fillId="0" borderId="0" xfId="0" applyFont="1" applyAlignment="1">
      <alignment/>
    </xf>
    <xf numFmtId="3" fontId="53" fillId="0" borderId="96" xfId="0" applyNumberFormat="1" applyFont="1" applyBorder="1" applyAlignment="1">
      <alignment/>
    </xf>
    <xf numFmtId="0" fontId="54" fillId="0" borderId="0" xfId="0" applyFont="1" applyBorder="1" applyAlignment="1">
      <alignment horizontal="center" vertical="center"/>
    </xf>
    <xf numFmtId="0" fontId="53" fillId="0" borderId="0" xfId="0" applyFont="1" applyBorder="1" applyAlignment="1">
      <alignment/>
    </xf>
    <xf numFmtId="3" fontId="53" fillId="0" borderId="99" xfId="0" applyNumberFormat="1" applyFont="1" applyBorder="1" applyAlignment="1">
      <alignment/>
    </xf>
    <xf numFmtId="0" fontId="53" fillId="0" borderId="0" xfId="0" applyFont="1" applyAlignment="1">
      <alignment/>
    </xf>
    <xf numFmtId="0" fontId="51" fillId="0" borderId="87" xfId="0" applyFont="1" applyBorder="1" applyAlignment="1">
      <alignment/>
    </xf>
    <xf numFmtId="3" fontId="53" fillId="0" borderId="99" xfId="0" applyNumberFormat="1" applyFont="1" applyBorder="1" applyAlignment="1">
      <alignment horizontal="center"/>
    </xf>
    <xf numFmtId="3" fontId="53" fillId="0" borderId="100" xfId="0" applyNumberFormat="1" applyFont="1" applyBorder="1" applyAlignment="1">
      <alignment/>
    </xf>
    <xf numFmtId="0" fontId="4" fillId="35" borderId="70" xfId="0" applyFont="1" applyFill="1" applyBorder="1" applyAlignment="1">
      <alignment horizontal="center"/>
    </xf>
    <xf numFmtId="0" fontId="4" fillId="0" borderId="70" xfId="0" applyFont="1" applyBorder="1" applyAlignment="1">
      <alignment/>
    </xf>
    <xf numFmtId="0" fontId="4" fillId="0" borderId="71" xfId="0" applyFont="1" applyBorder="1" applyAlignment="1">
      <alignment/>
    </xf>
    <xf numFmtId="3" fontId="4" fillId="0" borderId="71" xfId="0" applyNumberFormat="1" applyFont="1" applyBorder="1" applyAlignment="1">
      <alignment/>
    </xf>
    <xf numFmtId="3" fontId="4" fillId="0" borderId="44" xfId="0" applyNumberFormat="1" applyFont="1" applyBorder="1" applyAlignment="1">
      <alignment/>
    </xf>
    <xf numFmtId="3" fontId="53" fillId="0" borderId="70" xfId="0" applyNumberFormat="1" applyFont="1" applyBorder="1" applyAlignment="1">
      <alignment/>
    </xf>
    <xf numFmtId="3" fontId="53" fillId="0" borderId="101" xfId="0" applyNumberFormat="1" applyFont="1" applyBorder="1" applyAlignment="1">
      <alignment/>
    </xf>
    <xf numFmtId="3" fontId="53" fillId="0" borderId="44" xfId="0" applyNumberFormat="1" applyFont="1" applyBorder="1" applyAlignment="1">
      <alignment/>
    </xf>
    <xf numFmtId="3" fontId="53" fillId="0" borderId="102" xfId="0" applyNumberFormat="1" applyFont="1" applyBorder="1" applyAlignment="1">
      <alignment horizontal="center"/>
    </xf>
    <xf numFmtId="3" fontId="53" fillId="0" borderId="76" xfId="0" applyNumberFormat="1" applyFont="1" applyBorder="1" applyAlignment="1">
      <alignment/>
    </xf>
    <xf numFmtId="0" fontId="4" fillId="35" borderId="80" xfId="0" applyFont="1" applyFill="1" applyBorder="1" applyAlignment="1">
      <alignment horizontal="center"/>
    </xf>
    <xf numFmtId="0" fontId="4" fillId="0" borderId="80" xfId="0" applyFont="1" applyBorder="1" applyAlignment="1">
      <alignment/>
    </xf>
    <xf numFmtId="0" fontId="4" fillId="0" borderId="15" xfId="0" applyFont="1" applyBorder="1" applyAlignment="1">
      <alignment/>
    </xf>
    <xf numFmtId="3" fontId="4" fillId="0" borderId="15" xfId="0" applyNumberFormat="1" applyFont="1" applyBorder="1" applyAlignment="1">
      <alignment/>
    </xf>
    <xf numFmtId="3" fontId="4" fillId="0" borderId="81" xfId="0" applyNumberFormat="1" applyFont="1" applyBorder="1" applyAlignment="1">
      <alignment/>
    </xf>
    <xf numFmtId="3" fontId="53" fillId="0" borderId="103" xfId="0" applyNumberFormat="1" applyFont="1" applyBorder="1" applyAlignment="1">
      <alignment horizontal="center"/>
    </xf>
    <xf numFmtId="3" fontId="53" fillId="0" borderId="104" xfId="0" applyNumberFormat="1" applyFont="1" applyBorder="1" applyAlignment="1">
      <alignment/>
    </xf>
    <xf numFmtId="3" fontId="53" fillId="0" borderId="52" xfId="0" applyNumberFormat="1" applyFont="1" applyBorder="1" applyAlignment="1">
      <alignment vertical="center"/>
    </xf>
    <xf numFmtId="0" fontId="55" fillId="0" borderId="0" xfId="0" applyFont="1" applyBorder="1" applyAlignment="1">
      <alignment vertical="center"/>
    </xf>
    <xf numFmtId="3" fontId="53" fillId="0" borderId="88" xfId="0" applyNumberFormat="1" applyFont="1" applyBorder="1" applyAlignment="1">
      <alignment vertical="center"/>
    </xf>
    <xf numFmtId="3" fontId="53" fillId="0" borderId="17" xfId="0" applyNumberFormat="1" applyFont="1" applyBorder="1" applyAlignment="1">
      <alignment vertical="center"/>
    </xf>
    <xf numFmtId="0" fontId="55" fillId="0" borderId="0" xfId="0" applyFont="1" applyAlignment="1">
      <alignment vertical="center"/>
    </xf>
    <xf numFmtId="3" fontId="53" fillId="0" borderId="88" xfId="0" applyNumberFormat="1" applyFont="1" applyBorder="1" applyAlignment="1">
      <alignment horizontal="center" vertical="center"/>
    </xf>
    <xf numFmtId="3" fontId="53" fillId="0" borderId="59" xfId="0" applyNumberFormat="1" applyFont="1" applyBorder="1" applyAlignment="1">
      <alignment horizontal="center" vertical="center"/>
    </xf>
    <xf numFmtId="0" fontId="56" fillId="0" borderId="0" xfId="0" applyFont="1" applyBorder="1" applyAlignment="1">
      <alignment vertical="center"/>
    </xf>
    <xf numFmtId="3" fontId="53" fillId="0" borderId="0" xfId="0" applyNumberFormat="1" applyFont="1" applyBorder="1" applyAlignment="1">
      <alignment vertical="center"/>
    </xf>
    <xf numFmtId="0" fontId="57" fillId="0" borderId="63" xfId="0" applyFont="1" applyBorder="1" applyAlignment="1">
      <alignment horizontal="center" vertical="center"/>
    </xf>
    <xf numFmtId="3" fontId="58" fillId="0" borderId="63" xfId="0" applyNumberFormat="1" applyFont="1" applyBorder="1" applyAlignment="1">
      <alignment vertical="center"/>
    </xf>
    <xf numFmtId="0" fontId="54" fillId="0" borderId="0" xfId="0" applyFont="1" applyAlignment="1">
      <alignment vertical="center"/>
    </xf>
    <xf numFmtId="0" fontId="57" fillId="0" borderId="90" xfId="0" applyFont="1" applyBorder="1" applyAlignment="1">
      <alignment horizontal="center" vertical="center"/>
    </xf>
    <xf numFmtId="3" fontId="58" fillId="0" borderId="91" xfId="0" applyNumberFormat="1" applyFont="1" applyBorder="1" applyAlignment="1">
      <alignment vertical="center"/>
    </xf>
    <xf numFmtId="0" fontId="51" fillId="0" borderId="0" xfId="0" applyFont="1" applyAlignment="1">
      <alignment/>
    </xf>
    <xf numFmtId="3" fontId="58" fillId="0" borderId="0" xfId="0" applyNumberFormat="1" applyFont="1" applyBorder="1" applyAlignment="1">
      <alignment vertical="center"/>
    </xf>
    <xf numFmtId="0" fontId="57" fillId="0" borderId="0" xfId="0" applyFont="1" applyBorder="1" applyAlignment="1">
      <alignment horizontal="center" vertical="center"/>
    </xf>
    <xf numFmtId="0" fontId="40" fillId="0" borderId="105" xfId="0" applyFont="1" applyBorder="1" applyAlignment="1">
      <alignment vertical="center"/>
    </xf>
    <xf numFmtId="0" fontId="6" fillId="0" borderId="106" xfId="0" applyFont="1" applyBorder="1" applyAlignment="1">
      <alignment vertical="center"/>
    </xf>
    <xf numFmtId="0" fontId="43" fillId="0" borderId="106" xfId="0" applyFont="1" applyBorder="1" applyAlignment="1">
      <alignment vertical="center"/>
    </xf>
    <xf numFmtId="3" fontId="4" fillId="0" borderId="106" xfId="0" applyNumberFormat="1" applyFont="1" applyBorder="1" applyAlignment="1">
      <alignment vertical="center"/>
    </xf>
    <xf numFmtId="3" fontId="4" fillId="0" borderId="107" xfId="0" applyNumberFormat="1" applyFont="1" applyBorder="1" applyAlignment="1">
      <alignment vertical="center"/>
    </xf>
    <xf numFmtId="3" fontId="40" fillId="0" borderId="106" xfId="0" applyNumberFormat="1" applyFont="1" applyBorder="1" applyAlignment="1">
      <alignment vertical="center"/>
    </xf>
    <xf numFmtId="0" fontId="46" fillId="0" borderId="106" xfId="0" applyFont="1" applyBorder="1" applyAlignment="1">
      <alignment horizontal="center" vertical="center"/>
    </xf>
    <xf numFmtId="0" fontId="39" fillId="0" borderId="107" xfId="0" applyFont="1" applyBorder="1" applyAlignment="1">
      <alignment vertical="center"/>
    </xf>
    <xf numFmtId="3" fontId="40" fillId="0" borderId="108" xfId="0" applyNumberFormat="1" applyFont="1" applyBorder="1" applyAlignment="1">
      <alignment vertical="center"/>
    </xf>
    <xf numFmtId="0" fontId="46" fillId="0" borderId="109" xfId="0" applyFont="1" applyBorder="1" applyAlignment="1">
      <alignment horizontal="center" vertical="center"/>
    </xf>
    <xf numFmtId="3" fontId="40" fillId="0" borderId="110" xfId="0" applyNumberFormat="1" applyFont="1" applyBorder="1" applyAlignment="1">
      <alignment vertical="center"/>
    </xf>
    <xf numFmtId="0" fontId="0" fillId="0" borderId="111" xfId="0" applyBorder="1" applyAlignment="1">
      <alignment/>
    </xf>
    <xf numFmtId="0" fontId="0" fillId="0" borderId="112" xfId="0" applyFont="1" applyBorder="1" applyAlignment="1">
      <alignment/>
    </xf>
    <xf numFmtId="0" fontId="0" fillId="0" borderId="112" xfId="0" applyBorder="1" applyAlignment="1">
      <alignment horizontal="center"/>
    </xf>
    <xf numFmtId="0" fontId="0" fillId="0" borderId="112" xfId="0" applyBorder="1" applyAlignment="1">
      <alignment/>
    </xf>
    <xf numFmtId="0" fontId="0" fillId="0" borderId="113" xfId="0" applyBorder="1" applyAlignment="1">
      <alignment/>
    </xf>
    <xf numFmtId="0" fontId="0" fillId="0" borderId="114" xfId="0" applyBorder="1" applyAlignment="1">
      <alignment/>
    </xf>
    <xf numFmtId="0" fontId="0" fillId="0" borderId="0" xfId="0" applyFont="1" applyBorder="1" applyAlignment="1">
      <alignment/>
    </xf>
    <xf numFmtId="0" fontId="0" fillId="0" borderId="115" xfId="0" applyBorder="1" applyAlignment="1">
      <alignment/>
    </xf>
    <xf numFmtId="0" fontId="59" fillId="0" borderId="0" xfId="0" applyFont="1" applyBorder="1" applyAlignment="1">
      <alignment horizontal="right"/>
    </xf>
    <xf numFmtId="0" fontId="25" fillId="0" borderId="0" xfId="0" applyFont="1" applyBorder="1" applyAlignment="1">
      <alignment/>
    </xf>
    <xf numFmtId="0" fontId="25" fillId="0" borderId="0" xfId="0" applyFont="1" applyBorder="1" applyAlignment="1">
      <alignment horizontal="centerContinuous" wrapText="1"/>
    </xf>
    <xf numFmtId="0" fontId="25" fillId="0" borderId="0" xfId="0" applyFont="1" applyBorder="1" applyAlignment="1">
      <alignment horizontal="centerContinuous"/>
    </xf>
    <xf numFmtId="0" fontId="0" fillId="0" borderId="10" xfId="0" applyFont="1" applyBorder="1" applyAlignment="1">
      <alignment/>
    </xf>
    <xf numFmtId="0" fontId="37" fillId="0" borderId="0" xfId="0" applyFont="1" applyBorder="1" applyAlignment="1">
      <alignment horizontal="left" vertical="top"/>
    </xf>
    <xf numFmtId="0" fontId="43" fillId="0" borderId="0" xfId="0" applyFont="1" applyBorder="1" applyAlignment="1">
      <alignment horizontal="left" vertical="top"/>
    </xf>
    <xf numFmtId="0" fontId="0" fillId="0" borderId="116" xfId="0" applyBorder="1" applyAlignment="1">
      <alignment vertical="top"/>
    </xf>
    <xf numFmtId="0" fontId="0" fillId="0" borderId="117" xfId="0" applyFont="1" applyBorder="1" applyAlignment="1">
      <alignment horizontal="left" vertical="top"/>
    </xf>
    <xf numFmtId="0" fontId="46" fillId="0" borderId="117" xfId="0" applyFont="1" applyBorder="1" applyAlignment="1">
      <alignment horizontal="left" vertical="top"/>
    </xf>
    <xf numFmtId="0" fontId="0" fillId="0" borderId="117" xfId="0" applyBorder="1" applyAlignment="1">
      <alignment horizontal="left" vertical="top"/>
    </xf>
    <xf numFmtId="0" fontId="19" fillId="0" borderId="117" xfId="0" applyFont="1" applyBorder="1" applyAlignment="1">
      <alignment horizontal="left" vertical="top"/>
    </xf>
    <xf numFmtId="0" fontId="0" fillId="0" borderId="118" xfId="0" applyBorder="1" applyAlignment="1">
      <alignment vertical="top"/>
    </xf>
    <xf numFmtId="0" fontId="60" fillId="0" borderId="0" xfId="0" applyFont="1" applyAlignment="1">
      <alignment/>
    </xf>
    <xf numFmtId="0" fontId="39" fillId="0" borderId="0" xfId="0" applyFont="1" applyAlignment="1">
      <alignment/>
    </xf>
    <xf numFmtId="0" fontId="39" fillId="0" borderId="0" xfId="0" applyFont="1" applyAlignment="1">
      <alignment horizontal="center"/>
    </xf>
    <xf numFmtId="3" fontId="39" fillId="0" borderId="0" xfId="0" applyNumberFormat="1" applyFont="1" applyBorder="1" applyAlignment="1">
      <alignment horizontal="center"/>
    </xf>
    <xf numFmtId="0" fontId="25" fillId="0" borderId="0" xfId="0" applyFont="1" applyAlignment="1">
      <alignment/>
    </xf>
    <xf numFmtId="3" fontId="36" fillId="0" borderId="0" xfId="0" applyNumberFormat="1" applyFont="1" applyBorder="1" applyAlignment="1">
      <alignment horizontal="center"/>
    </xf>
    <xf numFmtId="3" fontId="25" fillId="0" borderId="0" xfId="0" applyNumberFormat="1" applyFont="1" applyBorder="1" applyAlignment="1">
      <alignment horizontal="center"/>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pplyProtection="1">
      <alignment vertical="top"/>
      <protection locked="0"/>
    </xf>
    <xf numFmtId="189" fontId="0" fillId="0" borderId="0" xfId="0" applyNumberFormat="1" applyAlignment="1" applyProtection="1">
      <alignment/>
      <protection locked="0"/>
    </xf>
    <xf numFmtId="0" fontId="64" fillId="0" borderId="0" xfId="0" applyFont="1" applyAlignment="1" applyProtection="1">
      <alignment horizontal="center"/>
      <protection locked="0"/>
    </xf>
    <xf numFmtId="188" fontId="65" fillId="0" borderId="21" xfId="0" applyNumberFormat="1" applyFont="1" applyBorder="1" applyAlignment="1" applyProtection="1">
      <alignment horizontal="center"/>
      <protection/>
    </xf>
    <xf numFmtId="189" fontId="65" fillId="0" borderId="22" xfId="0" applyNumberFormat="1" applyFont="1" applyBorder="1" applyAlignment="1" applyProtection="1">
      <alignment horizontal="center"/>
      <protection/>
    </xf>
    <xf numFmtId="0" fontId="65" fillId="0" borderId="119" xfId="0" applyFont="1" applyBorder="1" applyAlignment="1" applyProtection="1">
      <alignment horizontal="center"/>
      <protection/>
    </xf>
    <xf numFmtId="189" fontId="65" fillId="0" borderId="23" xfId="0" applyNumberFormat="1" applyFont="1" applyBorder="1" applyAlignment="1" applyProtection="1">
      <alignment horizontal="center"/>
      <protection/>
    </xf>
    <xf numFmtId="0" fontId="65" fillId="0" borderId="120" xfId="0" applyFont="1" applyBorder="1" applyAlignment="1" applyProtection="1">
      <alignment horizontal="center"/>
      <protection/>
    </xf>
    <xf numFmtId="10" fontId="66" fillId="0" borderId="121" xfId="51" applyNumberFormat="1" applyFont="1" applyBorder="1" applyAlignment="1" applyProtection="1">
      <alignment horizontal="center"/>
      <protection/>
    </xf>
    <xf numFmtId="188" fontId="65" fillId="0" borderId="25" xfId="0" applyNumberFormat="1" applyFont="1" applyBorder="1" applyAlignment="1" applyProtection="1">
      <alignment horizontal="center"/>
      <protection/>
    </xf>
    <xf numFmtId="189" fontId="65" fillId="0" borderId="26" xfId="0" applyNumberFormat="1" applyFont="1" applyBorder="1" applyAlignment="1" applyProtection="1">
      <alignment horizontal="center"/>
      <protection/>
    </xf>
    <xf numFmtId="0" fontId="65" fillId="0" borderId="122" xfId="0" applyFont="1" applyBorder="1" applyAlignment="1" applyProtection="1">
      <alignment horizontal="center"/>
      <protection/>
    </xf>
    <xf numFmtId="189" fontId="65" fillId="0" borderId="0" xfId="0" applyNumberFormat="1" applyFont="1" applyBorder="1" applyAlignment="1" applyProtection="1">
      <alignment horizontal="center"/>
      <protection/>
    </xf>
    <xf numFmtId="0" fontId="65" fillId="0" borderId="123" xfId="0" applyFont="1" applyBorder="1" applyAlignment="1" applyProtection="1">
      <alignment horizontal="center"/>
      <protection/>
    </xf>
    <xf numFmtId="189" fontId="65" fillId="0" borderId="122" xfId="0" applyNumberFormat="1" applyFont="1" applyBorder="1" applyAlignment="1" applyProtection="1">
      <alignment horizontal="center"/>
      <protection/>
    </xf>
    <xf numFmtId="188" fontId="65" fillId="0" borderId="28" xfId="0" applyNumberFormat="1" applyFont="1" applyBorder="1" applyAlignment="1" applyProtection="1">
      <alignment horizontal="center"/>
      <protection/>
    </xf>
    <xf numFmtId="189" fontId="65" fillId="0" borderId="29" xfId="0" applyNumberFormat="1" applyFont="1" applyBorder="1" applyAlignment="1" applyProtection="1">
      <alignment horizontal="center"/>
      <protection/>
    </xf>
    <xf numFmtId="0" fontId="65" fillId="0" borderId="124" xfId="0" applyFont="1" applyBorder="1" applyAlignment="1" applyProtection="1">
      <alignment horizontal="center"/>
      <protection/>
    </xf>
    <xf numFmtId="189" fontId="67" fillId="0" borderId="30" xfId="0" applyNumberFormat="1" applyFont="1" applyBorder="1" applyAlignment="1" applyProtection="1">
      <alignment horizontal="center"/>
      <protection/>
    </xf>
    <xf numFmtId="0" fontId="65" fillId="0" borderId="125" xfId="0" applyFont="1" applyBorder="1" applyAlignment="1" applyProtection="1">
      <alignment horizontal="center"/>
      <protection/>
    </xf>
    <xf numFmtId="189" fontId="67" fillId="0" borderId="126" xfId="0" applyNumberFormat="1" applyFont="1" applyBorder="1" applyAlignment="1" applyProtection="1">
      <alignment horizontal="center"/>
      <protection/>
    </xf>
    <xf numFmtId="188" fontId="62" fillId="33" borderId="32" xfId="0" applyNumberFormat="1" applyFont="1" applyFill="1" applyBorder="1" applyAlignment="1" applyProtection="1">
      <alignment horizontal="center"/>
      <protection/>
    </xf>
    <xf numFmtId="189" fontId="62" fillId="33" borderId="33" xfId="0" applyNumberFormat="1" applyFont="1" applyFill="1" applyBorder="1" applyAlignment="1" applyProtection="1">
      <alignment horizontal="center"/>
      <protection/>
    </xf>
    <xf numFmtId="183" fontId="68" fillId="33" borderId="127" xfId="0" applyNumberFormat="1" applyFont="1" applyFill="1" applyBorder="1" applyAlignment="1" applyProtection="1">
      <alignment horizontal="center"/>
      <protection/>
    </xf>
    <xf numFmtId="189" fontId="19" fillId="0" borderId="33" xfId="0" applyNumberFormat="1" applyFont="1" applyBorder="1" applyAlignment="1" applyProtection="1">
      <alignment horizontal="right"/>
      <protection/>
    </xf>
    <xf numFmtId="183" fontId="68" fillId="34" borderId="127" xfId="0" applyNumberFormat="1" applyFont="1" applyFill="1" applyBorder="1" applyAlignment="1" applyProtection="1">
      <alignment horizontal="center"/>
      <protection/>
    </xf>
    <xf numFmtId="189" fontId="27" fillId="0" borderId="35" xfId="0" applyNumberFormat="1" applyFont="1" applyBorder="1" applyAlignment="1" applyProtection="1">
      <alignment horizontal="center"/>
      <protection/>
    </xf>
    <xf numFmtId="188" fontId="62" fillId="33" borderId="36" xfId="0" applyNumberFormat="1" applyFont="1" applyFill="1" applyBorder="1" applyAlignment="1" applyProtection="1">
      <alignment horizontal="center"/>
      <protection/>
    </xf>
    <xf numFmtId="189" fontId="0" fillId="0" borderId="37" xfId="0" applyNumberFormat="1" applyBorder="1" applyAlignment="1" applyProtection="1">
      <alignment horizontal="center"/>
      <protection/>
    </xf>
    <xf numFmtId="0" fontId="62" fillId="0" borderId="128" xfId="0" applyFont="1" applyBorder="1" applyAlignment="1" applyProtection="1">
      <alignment horizontal="center"/>
      <protection/>
    </xf>
    <xf numFmtId="189" fontId="26" fillId="35" borderId="37" xfId="0" applyNumberFormat="1" applyFont="1" applyFill="1" applyBorder="1" applyAlignment="1" applyProtection="1">
      <alignment horizontal="center"/>
      <protection/>
    </xf>
    <xf numFmtId="189" fontId="27" fillId="0" borderId="39" xfId="0" applyNumberFormat="1" applyFont="1" applyBorder="1" applyAlignment="1" applyProtection="1">
      <alignment horizontal="center"/>
      <protection/>
    </xf>
    <xf numFmtId="188" fontId="27" fillId="0" borderId="40" xfId="0" applyNumberFormat="1" applyFont="1" applyBorder="1" applyAlignment="1" applyProtection="1">
      <alignment horizontal="center"/>
      <protection/>
    </xf>
    <xf numFmtId="189" fontId="27" fillId="0" borderId="33" xfId="0" applyNumberFormat="1" applyFont="1" applyBorder="1" applyAlignment="1" applyProtection="1">
      <alignment horizontal="center"/>
      <protection/>
    </xf>
    <xf numFmtId="0" fontId="62" fillId="0" borderId="127" xfId="0" applyFont="1" applyBorder="1" applyAlignment="1" applyProtection="1">
      <alignment horizontal="center"/>
      <protection/>
    </xf>
    <xf numFmtId="189" fontId="27" fillId="0" borderId="41" xfId="0" applyNumberFormat="1" applyFont="1" applyBorder="1" applyAlignment="1" applyProtection="1">
      <alignment horizontal="center"/>
      <protection/>
    </xf>
    <xf numFmtId="0" fontId="0" fillId="0" borderId="0" xfId="0" applyAlignment="1" applyProtection="1">
      <alignment vertical="center"/>
      <protection locked="0"/>
    </xf>
    <xf numFmtId="0" fontId="39" fillId="0" borderId="0" xfId="0" applyFont="1" applyAlignment="1" applyProtection="1">
      <alignment/>
      <protection locked="0"/>
    </xf>
    <xf numFmtId="0" fontId="0" fillId="0" borderId="114" xfId="0" applyBorder="1" applyAlignment="1" applyProtection="1">
      <alignment/>
      <protection locked="0"/>
    </xf>
    <xf numFmtId="0" fontId="0" fillId="0" borderId="115" xfId="0" applyBorder="1" applyAlignment="1" applyProtection="1">
      <alignment/>
      <protection locked="0"/>
    </xf>
    <xf numFmtId="0" fontId="0" fillId="0" borderId="129" xfId="0" applyBorder="1" applyAlignment="1" applyProtection="1">
      <alignment/>
      <protection locked="0"/>
    </xf>
    <xf numFmtId="0" fontId="0" fillId="0" borderId="130" xfId="0" applyBorder="1" applyAlignment="1" applyProtection="1">
      <alignment/>
      <protection locked="0"/>
    </xf>
    <xf numFmtId="0" fontId="0" fillId="0" borderId="10" xfId="0" applyBorder="1" applyAlignment="1" applyProtection="1">
      <alignment/>
      <protection locked="0"/>
    </xf>
    <xf numFmtId="0" fontId="0" fillId="0" borderId="131" xfId="0" applyBorder="1" applyAlignment="1" applyProtection="1">
      <alignment/>
      <protection locked="0"/>
    </xf>
    <xf numFmtId="0" fontId="0" fillId="0" borderId="132" xfId="0" applyBorder="1" applyAlignment="1" applyProtection="1">
      <alignment/>
      <protection locked="0"/>
    </xf>
    <xf numFmtId="0" fontId="0" fillId="0" borderId="0" xfId="0" applyFont="1" applyAlignment="1" applyProtection="1">
      <alignment/>
      <protection locked="0"/>
    </xf>
    <xf numFmtId="0" fontId="7" fillId="0" borderId="0" xfId="0" applyFont="1" applyAlignment="1" applyProtection="1">
      <alignment/>
      <protection/>
    </xf>
    <xf numFmtId="0" fontId="0" fillId="0" borderId="0" xfId="0" applyFont="1" applyAlignment="1" applyProtection="1">
      <alignment/>
      <protection/>
    </xf>
    <xf numFmtId="10" fontId="0" fillId="35" borderId="46" xfId="51" applyNumberFormat="1" applyFont="1" applyFill="1" applyBorder="1" applyAlignment="1" applyProtection="1">
      <alignment horizontal="center" vertical="center"/>
      <protection/>
    </xf>
    <xf numFmtId="0" fontId="74" fillId="0" borderId="133" xfId="0" applyFont="1" applyBorder="1" applyAlignment="1" applyProtection="1">
      <alignment vertical="center"/>
      <protection/>
    </xf>
    <xf numFmtId="0" fontId="0" fillId="0" borderId="134" xfId="0" applyFont="1" applyBorder="1" applyAlignment="1" applyProtection="1">
      <alignment/>
      <protection/>
    </xf>
    <xf numFmtId="0" fontId="27" fillId="0" borderId="18" xfId="0" applyFont="1" applyBorder="1" applyAlignment="1" applyProtection="1">
      <alignment vertical="center"/>
      <protection/>
    </xf>
    <xf numFmtId="0" fontId="0" fillId="0" borderId="19" xfId="0" applyFont="1" applyBorder="1" applyAlignment="1" applyProtection="1">
      <alignment vertical="top"/>
      <protection/>
    </xf>
    <xf numFmtId="0" fontId="27" fillId="0" borderId="20" xfId="0" applyFont="1" applyBorder="1" applyAlignment="1" applyProtection="1">
      <alignment vertical="center"/>
      <protection/>
    </xf>
    <xf numFmtId="0" fontId="0" fillId="0" borderId="81" xfId="0" applyFont="1" applyBorder="1" applyAlignment="1" applyProtection="1">
      <alignment/>
      <protection/>
    </xf>
    <xf numFmtId="0" fontId="42" fillId="0" borderId="0" xfId="0" applyFont="1" applyAlignment="1" applyProtection="1">
      <alignment/>
      <protection locked="0"/>
    </xf>
    <xf numFmtId="14" fontId="35" fillId="35" borderId="52" xfId="0" applyNumberFormat="1" applyFont="1" applyFill="1" applyBorder="1" applyAlignment="1" applyProtection="1">
      <alignment horizontal="center"/>
      <protection/>
    </xf>
    <xf numFmtId="0" fontId="4" fillId="36" borderId="52" xfId="0" applyFont="1" applyFill="1" applyBorder="1" applyAlignment="1" applyProtection="1">
      <alignment horizontal="center"/>
      <protection locked="0"/>
    </xf>
    <xf numFmtId="0" fontId="10" fillId="0" borderId="0" xfId="0" applyFont="1" applyAlignment="1" applyProtection="1">
      <alignment/>
      <protection/>
    </xf>
    <xf numFmtId="0" fontId="42" fillId="0" borderId="0" xfId="0" applyFont="1" applyAlignment="1" applyProtection="1">
      <alignment/>
      <protection/>
    </xf>
    <xf numFmtId="195" fontId="75" fillId="36" borderId="135" xfId="0" applyNumberFormat="1" applyFont="1" applyFill="1" applyBorder="1" applyAlignment="1" applyProtection="1">
      <alignment horizontal="center"/>
      <protection locked="0"/>
    </xf>
    <xf numFmtId="14" fontId="75" fillId="0" borderId="136" xfId="0" applyNumberFormat="1" applyFont="1" applyBorder="1" applyAlignment="1" applyProtection="1">
      <alignment horizontal="center"/>
      <protection/>
    </xf>
    <xf numFmtId="0" fontId="75" fillId="33" borderId="137" xfId="0" applyFont="1" applyFill="1" applyBorder="1" applyAlignment="1" applyProtection="1">
      <alignment horizontal="center"/>
      <protection/>
    </xf>
    <xf numFmtId="4" fontId="10" fillId="0" borderId="75" xfId="0" applyNumberFormat="1" applyFont="1" applyBorder="1" applyAlignment="1" applyProtection="1">
      <alignment/>
      <protection/>
    </xf>
    <xf numFmtId="4" fontId="10" fillId="0" borderId="46" xfId="0" applyNumberFormat="1" applyFont="1" applyBorder="1" applyAlignment="1" applyProtection="1">
      <alignment/>
      <protection/>
    </xf>
    <xf numFmtId="4" fontId="10" fillId="0" borderId="138" xfId="0" applyNumberFormat="1" applyFont="1" applyBorder="1" applyAlignment="1" applyProtection="1">
      <alignment/>
      <protection/>
    </xf>
    <xf numFmtId="0" fontId="82" fillId="0" borderId="139" xfId="0" applyFont="1" applyBorder="1" applyAlignment="1" applyProtection="1">
      <alignment/>
      <protection/>
    </xf>
    <xf numFmtId="0" fontId="82" fillId="0" borderId="140" xfId="0" applyFont="1" applyBorder="1" applyAlignment="1" applyProtection="1">
      <alignment/>
      <protection/>
    </xf>
    <xf numFmtId="0" fontId="82" fillId="0" borderId="141" xfId="0" applyFont="1" applyBorder="1" applyAlignment="1" applyProtection="1">
      <alignment/>
      <protection/>
    </xf>
    <xf numFmtId="0" fontId="82" fillId="33" borderId="142" xfId="0" applyFont="1" applyFill="1" applyBorder="1" applyAlignment="1" applyProtection="1">
      <alignment horizontal="center"/>
      <protection/>
    </xf>
    <xf numFmtId="0" fontId="75" fillId="33" borderId="105" xfId="0" applyFont="1" applyFill="1" applyBorder="1" applyAlignment="1" applyProtection="1">
      <alignment horizontal="center"/>
      <protection/>
    </xf>
    <xf numFmtId="14" fontId="4" fillId="36" borderId="52" xfId="0" applyNumberFormat="1" applyFont="1" applyFill="1" applyBorder="1" applyAlignment="1" applyProtection="1">
      <alignment horizontal="center" vertical="center"/>
      <protection locked="0"/>
    </xf>
    <xf numFmtId="0" fontId="78" fillId="33" borderId="105" xfId="0" applyFont="1" applyFill="1" applyBorder="1" applyAlignment="1" applyProtection="1">
      <alignment horizontal="center" wrapText="1"/>
      <protection/>
    </xf>
    <xf numFmtId="14" fontId="75" fillId="0" borderId="143" xfId="0" applyNumberFormat="1" applyFont="1" applyBorder="1" applyAlignment="1" applyProtection="1">
      <alignment horizontal="center"/>
      <protection/>
    </xf>
    <xf numFmtId="14" fontId="75" fillId="0" borderId="144" xfId="0" applyNumberFormat="1" applyFont="1" applyBorder="1" applyAlignment="1" applyProtection="1">
      <alignment horizontal="center"/>
      <protection/>
    </xf>
    <xf numFmtId="14" fontId="75" fillId="0" borderId="145" xfId="0" applyNumberFormat="1" applyFont="1" applyBorder="1" applyAlignment="1" applyProtection="1">
      <alignment horizontal="center"/>
      <protection/>
    </xf>
    <xf numFmtId="0" fontId="10" fillId="34" borderId="146" xfId="0" applyFont="1" applyFill="1" applyBorder="1" applyAlignment="1" applyProtection="1">
      <alignment/>
      <protection/>
    </xf>
    <xf numFmtId="4" fontId="10" fillId="0" borderId="147" xfId="0" applyNumberFormat="1" applyFont="1" applyBorder="1" applyAlignment="1" applyProtection="1">
      <alignment/>
      <protection/>
    </xf>
    <xf numFmtId="4" fontId="10" fillId="0" borderId="148" xfId="0" applyNumberFormat="1" applyFont="1" applyBorder="1" applyAlignment="1" applyProtection="1">
      <alignment/>
      <protection/>
    </xf>
    <xf numFmtId="4" fontId="10" fillId="0" borderId="149" xfId="0" applyNumberFormat="1" applyFont="1" applyBorder="1" applyAlignment="1" applyProtection="1">
      <alignment/>
      <protection/>
    </xf>
    <xf numFmtId="0" fontId="39" fillId="0" borderId="0" xfId="0" applyFont="1" applyBorder="1" applyAlignment="1" applyProtection="1">
      <alignment/>
      <protection locked="0"/>
    </xf>
    <xf numFmtId="3" fontId="0" fillId="0" borderId="0" xfId="0" applyNumberFormat="1" applyBorder="1" applyAlignment="1" applyProtection="1">
      <alignment/>
      <protection locked="0"/>
    </xf>
    <xf numFmtId="0" fontId="25" fillId="0" borderId="10" xfId="0" applyFont="1" applyBorder="1" applyAlignment="1" applyProtection="1">
      <alignment/>
      <protection locked="0"/>
    </xf>
    <xf numFmtId="0" fontId="42" fillId="0" borderId="0" xfId="0" applyFont="1" applyBorder="1" applyAlignment="1" applyProtection="1">
      <alignment/>
      <protection locked="0"/>
    </xf>
    <xf numFmtId="0" fontId="75" fillId="0" borderId="0" xfId="0" applyFont="1" applyBorder="1" applyAlignment="1" applyProtection="1">
      <alignment/>
      <protection locked="0"/>
    </xf>
    <xf numFmtId="0" fontId="25" fillId="0" borderId="0" xfId="0" applyFont="1" applyAlignment="1" applyProtection="1">
      <alignment horizontal="left"/>
      <protection locked="0"/>
    </xf>
    <xf numFmtId="201" fontId="4" fillId="36" borderId="52" xfId="0" applyNumberFormat="1" applyFont="1" applyFill="1" applyBorder="1" applyAlignment="1" applyProtection="1">
      <alignment horizontal="right"/>
      <protection locked="0"/>
    </xf>
    <xf numFmtId="202" fontId="4" fillId="36" borderId="52" xfId="0" applyNumberFormat="1" applyFont="1" applyFill="1" applyBorder="1" applyAlignment="1" applyProtection="1">
      <alignment horizontal="left" indent="4"/>
      <protection locked="0"/>
    </xf>
    <xf numFmtId="177" fontId="4" fillId="36" borderId="52"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Alignment="1" applyProtection="1">
      <alignment/>
      <protection/>
    </xf>
    <xf numFmtId="0" fontId="37" fillId="0" borderId="0" xfId="0" applyFont="1" applyAlignment="1" applyProtection="1">
      <alignment/>
      <protection/>
    </xf>
    <xf numFmtId="0" fontId="0" fillId="0" borderId="0" xfId="0" applyAlignment="1" applyProtection="1">
      <alignment horizontal="right"/>
      <protection/>
    </xf>
    <xf numFmtId="0" fontId="0" fillId="0" borderId="0" xfId="0" applyBorder="1" applyAlignment="1" applyProtection="1">
      <alignment/>
      <protection/>
    </xf>
    <xf numFmtId="0" fontId="37" fillId="0" borderId="0" xfId="0" applyFont="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protection/>
    </xf>
    <xf numFmtId="0" fontId="42" fillId="0" borderId="0" xfId="0" applyFont="1" applyAlignment="1" applyProtection="1">
      <alignment horizontal="left"/>
      <protection/>
    </xf>
    <xf numFmtId="0" fontId="10" fillId="0" borderId="0" xfId="0" applyFont="1" applyAlignment="1" applyProtection="1">
      <alignment vertical="top"/>
      <protection/>
    </xf>
    <xf numFmtId="0" fontId="42" fillId="0" borderId="0" xfId="0" applyFont="1" applyAlignment="1" applyProtection="1">
      <alignment vertical="top"/>
      <protection/>
    </xf>
    <xf numFmtId="0" fontId="37" fillId="0" borderId="0" xfId="0" applyFont="1" applyAlignment="1" applyProtection="1">
      <alignment horizontal="right" vertical="top"/>
      <protection/>
    </xf>
    <xf numFmtId="0" fontId="0" fillId="0" borderId="0" xfId="0" applyAlignment="1" applyProtection="1">
      <alignment horizontal="left"/>
      <protection/>
    </xf>
    <xf numFmtId="0" fontId="4" fillId="0" borderId="0" xfId="0" applyFont="1" applyAlignment="1" applyProtection="1">
      <alignment horizontal="left" vertical="top"/>
      <protection/>
    </xf>
    <xf numFmtId="0" fontId="77" fillId="0" borderId="0" xfId="0" applyFont="1" applyAlignment="1" applyProtection="1">
      <alignment horizontal="center" vertical="top"/>
      <protection/>
    </xf>
    <xf numFmtId="0" fontId="39" fillId="0" borderId="0" xfId="0" applyFont="1" applyAlignment="1" applyProtection="1">
      <alignment horizontal="left"/>
      <protection/>
    </xf>
    <xf numFmtId="0" fontId="36" fillId="0" borderId="0" xfId="0" applyFont="1" applyAlignment="1" applyProtection="1">
      <alignment horizontal="left" vertical="top"/>
      <protection/>
    </xf>
    <xf numFmtId="0" fontId="35" fillId="0" borderId="0" xfId="0" applyFont="1" applyAlignment="1" applyProtection="1">
      <alignment vertical="center"/>
      <protection/>
    </xf>
    <xf numFmtId="0" fontId="4" fillId="0" borderId="0" xfId="0" applyFont="1" applyAlignment="1" applyProtection="1">
      <alignment vertical="center"/>
      <protection/>
    </xf>
    <xf numFmtId="0" fontId="26" fillId="0" borderId="0" xfId="0" applyFont="1" applyAlignment="1" applyProtection="1">
      <alignment horizontal="center"/>
      <protection/>
    </xf>
    <xf numFmtId="0" fontId="39" fillId="0" borderId="0" xfId="0"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right" vertical="center"/>
      <protection/>
    </xf>
    <xf numFmtId="0" fontId="27" fillId="0" borderId="0" xfId="0" applyFont="1" applyBorder="1" applyAlignment="1" applyProtection="1">
      <alignment horizontal="center" vertical="center"/>
      <protection/>
    </xf>
    <xf numFmtId="2" fontId="27" fillId="0" borderId="0" xfId="0" applyNumberFormat="1" applyFont="1" applyBorder="1" applyAlignment="1" applyProtection="1">
      <alignment horizontal="center" vertical="center"/>
      <protection/>
    </xf>
    <xf numFmtId="0" fontId="76" fillId="0" borderId="0" xfId="0" applyFont="1" applyAlignment="1" applyProtection="1">
      <alignment horizontal="center"/>
      <protection/>
    </xf>
    <xf numFmtId="0" fontId="36" fillId="0" borderId="0" xfId="0" applyFont="1" applyAlignment="1" applyProtection="1">
      <alignment horizontal="left"/>
      <protection/>
    </xf>
    <xf numFmtId="0" fontId="4" fillId="0" borderId="0" xfId="0" applyFont="1" applyAlignment="1" applyProtection="1" quotePrefix="1">
      <alignment horizontal="center" vertical="center"/>
      <protection/>
    </xf>
    <xf numFmtId="0" fontId="27" fillId="0" borderId="0" xfId="0" applyFont="1" applyAlignment="1" applyProtection="1">
      <alignment/>
      <protection/>
    </xf>
    <xf numFmtId="0" fontId="39" fillId="0" borderId="0" xfId="0" applyFont="1" applyAlignment="1" applyProtection="1">
      <alignment/>
      <protection/>
    </xf>
    <xf numFmtId="0" fontId="94" fillId="0" borderId="0" xfId="0" applyFont="1" applyAlignment="1" applyProtection="1">
      <alignment/>
      <protection/>
    </xf>
    <xf numFmtId="0" fontId="94" fillId="0" borderId="0" xfId="0" applyFont="1" applyAlignment="1" applyProtection="1">
      <alignment horizontal="right"/>
      <protection/>
    </xf>
    <xf numFmtId="0" fontId="30" fillId="0" borderId="0" xfId="0" applyFont="1" applyAlignment="1" applyProtection="1">
      <alignment/>
      <protection/>
    </xf>
    <xf numFmtId="0" fontId="27" fillId="0" borderId="0" xfId="0" applyFont="1" applyAlignment="1" applyProtection="1">
      <alignment horizontal="right"/>
      <protection/>
    </xf>
    <xf numFmtId="0" fontId="0" fillId="0" borderId="0" xfId="0" applyBorder="1" applyAlignment="1" applyProtection="1">
      <alignment vertical="center"/>
      <protection locked="0"/>
    </xf>
    <xf numFmtId="14" fontId="4" fillId="36" borderId="52"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4" fillId="0" borderId="0" xfId="0" applyFont="1" applyBorder="1" applyAlignment="1" applyProtection="1">
      <alignment vertical="center" wrapText="1"/>
      <protection locked="0"/>
    </xf>
    <xf numFmtId="0" fontId="7" fillId="0" borderId="60" xfId="0" applyFont="1" applyBorder="1" applyAlignment="1" applyProtection="1">
      <alignment/>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protection locked="0"/>
    </xf>
    <xf numFmtId="0" fontId="46" fillId="0" borderId="0" xfId="0" applyFont="1" applyAlignment="1" applyProtection="1">
      <alignment/>
      <protection/>
    </xf>
    <xf numFmtId="0" fontId="35" fillId="0" borderId="0" xfId="0" applyFont="1" applyAlignment="1" applyProtection="1">
      <alignment/>
      <protection/>
    </xf>
    <xf numFmtId="0" fontId="27" fillId="0" borderId="0" xfId="0" applyFont="1" applyAlignment="1" applyProtection="1">
      <alignment vertical="top"/>
      <protection/>
    </xf>
    <xf numFmtId="0" fontId="69" fillId="0" borderId="0" xfId="0" applyFont="1" applyAlignment="1" applyProtection="1">
      <alignment/>
      <protection/>
    </xf>
    <xf numFmtId="0" fontId="52" fillId="0" borderId="0" xfId="0" applyFont="1" applyAlignment="1" applyProtection="1">
      <alignment/>
      <protection/>
    </xf>
    <xf numFmtId="0" fontId="70" fillId="0" borderId="0" xfId="0" applyFont="1" applyAlignment="1" applyProtection="1">
      <alignment/>
      <protection/>
    </xf>
    <xf numFmtId="0" fontId="3" fillId="0" borderId="0" xfId="0" applyFont="1" applyAlignment="1" applyProtection="1">
      <alignment/>
      <protection/>
    </xf>
    <xf numFmtId="0" fontId="4" fillId="35" borderId="52" xfId="0" applyFont="1" applyFill="1" applyBorder="1" applyAlignment="1" applyProtection="1">
      <alignment horizontal="center" vertical="center"/>
      <protection/>
    </xf>
    <xf numFmtId="0" fontId="27" fillId="0" borderId="0" xfId="0" applyFont="1" applyAlignment="1" applyProtection="1">
      <alignment horizontal="left"/>
      <protection/>
    </xf>
    <xf numFmtId="0" fontId="35" fillId="0" borderId="0" xfId="0" applyFont="1" applyAlignment="1" applyProtection="1">
      <alignment horizontal="left" vertical="top"/>
      <protection/>
    </xf>
    <xf numFmtId="0" fontId="0" fillId="0" borderId="0" xfId="0" applyAlignment="1" applyProtection="1">
      <alignment/>
      <protection/>
    </xf>
    <xf numFmtId="0" fontId="0" fillId="0" borderId="0" xfId="0" applyAlignment="1" applyProtection="1">
      <alignment wrapText="1"/>
      <protection/>
    </xf>
    <xf numFmtId="0" fontId="0" fillId="0" borderId="115" xfId="0" applyBorder="1" applyAlignment="1" applyProtection="1">
      <alignment/>
      <protection/>
    </xf>
    <xf numFmtId="0" fontId="0" fillId="0" borderId="129" xfId="0" applyBorder="1" applyAlignment="1" applyProtection="1">
      <alignment/>
      <protection/>
    </xf>
    <xf numFmtId="0" fontId="73" fillId="0" borderId="114" xfId="0" applyFont="1" applyBorder="1" applyAlignment="1" applyProtection="1">
      <alignment horizontal="left" vertical="top"/>
      <protection/>
    </xf>
    <xf numFmtId="0" fontId="73" fillId="0" borderId="0" xfId="0" applyFont="1" applyBorder="1" applyAlignment="1" applyProtection="1">
      <alignment horizontal="left" vertical="top"/>
      <protection/>
    </xf>
    <xf numFmtId="0" fontId="0" fillId="0" borderId="150" xfId="0" applyBorder="1" applyAlignment="1" applyProtection="1">
      <alignment/>
      <protection/>
    </xf>
    <xf numFmtId="0" fontId="0" fillId="0" borderId="0" xfId="0" applyBorder="1" applyAlignment="1" applyProtection="1">
      <alignment horizontal="left"/>
      <protection locked="0"/>
    </xf>
    <xf numFmtId="169" fontId="6" fillId="37" borderId="151" xfId="42" applyNumberFormat="1" applyFont="1" applyFill="1" applyBorder="1" applyAlignment="1" applyProtection="1">
      <alignment horizontal="right"/>
      <protection locked="0"/>
    </xf>
    <xf numFmtId="0" fontId="0" fillId="0" borderId="0" xfId="0" applyBorder="1" applyAlignment="1" applyProtection="1">
      <alignment/>
      <protection locked="0"/>
    </xf>
    <xf numFmtId="169" fontId="0" fillId="36" borderId="52" xfId="0" applyNumberFormat="1" applyFont="1" applyFill="1" applyBorder="1" applyAlignment="1" applyProtection="1">
      <alignment horizontal="right"/>
      <protection locked="0"/>
    </xf>
    <xf numFmtId="0" fontId="39" fillId="0" borderId="0" xfId="0" applyFont="1" applyBorder="1" applyAlignment="1" applyProtection="1">
      <alignment vertical="center"/>
      <protection locked="0"/>
    </xf>
    <xf numFmtId="0" fontId="0" fillId="0" borderId="152" xfId="0" applyBorder="1" applyAlignment="1" applyProtection="1">
      <alignment/>
      <protection/>
    </xf>
    <xf numFmtId="0" fontId="0" fillId="0" borderId="136" xfId="0" applyBorder="1" applyAlignment="1" applyProtection="1">
      <alignment/>
      <protection/>
    </xf>
    <xf numFmtId="0" fontId="0" fillId="0" borderId="0" xfId="0" applyBorder="1" applyAlignment="1" applyProtection="1">
      <alignment horizontal="left"/>
      <protection/>
    </xf>
    <xf numFmtId="0" fontId="81" fillId="34" borderId="103" xfId="0" applyFont="1" applyFill="1" applyBorder="1" applyAlignment="1" applyProtection="1">
      <alignment horizontal="center"/>
      <protection/>
    </xf>
    <xf numFmtId="196" fontId="81" fillId="34" borderId="153" xfId="0" applyNumberFormat="1" applyFont="1" applyFill="1" applyBorder="1" applyAlignment="1" applyProtection="1">
      <alignment horizontal="center"/>
      <protection/>
    </xf>
    <xf numFmtId="0" fontId="0" fillId="0" borderId="12" xfId="0" applyBorder="1" applyAlignment="1" applyProtection="1">
      <alignment/>
      <protection/>
    </xf>
    <xf numFmtId="0" fontId="0" fillId="0" borderId="154" xfId="0" applyBorder="1" applyAlignment="1" applyProtection="1">
      <alignment horizontal="left"/>
      <protection/>
    </xf>
    <xf numFmtId="0" fontId="0" fillId="0" borderId="10" xfId="0" applyBorder="1" applyAlignment="1" applyProtection="1">
      <alignment vertical="center"/>
      <protection/>
    </xf>
    <xf numFmtId="0" fontId="0" fillId="0" borderId="71" xfId="0" applyBorder="1" applyAlignment="1" applyProtection="1">
      <alignment horizontal="right" vertical="center"/>
      <protection/>
    </xf>
    <xf numFmtId="0" fontId="6" fillId="0" borderId="136" xfId="0" applyFont="1" applyBorder="1" applyAlignment="1" applyProtection="1">
      <alignment vertical="center"/>
      <protection/>
    </xf>
    <xf numFmtId="0" fontId="6" fillId="0" borderId="0" xfId="0" applyFont="1" applyBorder="1" applyAlignment="1" applyProtection="1">
      <alignment vertical="center"/>
      <protection/>
    </xf>
    <xf numFmtId="0" fontId="1" fillId="34" borderId="52"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0" fillId="0" borderId="136" xfId="0" applyFont="1" applyBorder="1" applyAlignment="1" applyProtection="1">
      <alignment vertical="center"/>
      <protection/>
    </xf>
    <xf numFmtId="0" fontId="6" fillId="0" borderId="155" xfId="0" applyFont="1" applyBorder="1" applyAlignment="1" applyProtection="1">
      <alignment vertical="center"/>
      <protection/>
    </xf>
    <xf numFmtId="0" fontId="6" fillId="0" borderId="142" xfId="0" applyFont="1" applyBorder="1" applyAlignment="1" applyProtection="1">
      <alignment vertical="center"/>
      <protection/>
    </xf>
    <xf numFmtId="169" fontId="4" fillId="35" borderId="156" xfId="0" applyNumberFormat="1" applyFont="1" applyFill="1" applyBorder="1" applyAlignment="1" applyProtection="1">
      <alignment vertical="center"/>
      <protection/>
    </xf>
    <xf numFmtId="0" fontId="2" fillId="38" borderId="157" xfId="0" applyFont="1" applyFill="1" applyBorder="1" applyAlignment="1" applyProtection="1">
      <alignment horizontal="left" vertical="center"/>
      <protection/>
    </xf>
    <xf numFmtId="0" fontId="2" fillId="38" borderId="157" xfId="0" applyFont="1" applyFill="1" applyBorder="1" applyAlignment="1" applyProtection="1">
      <alignment horizontal="right" vertical="center"/>
      <protection/>
    </xf>
    <xf numFmtId="0" fontId="2" fillId="38" borderId="158" xfId="0" applyFont="1" applyFill="1" applyBorder="1" applyAlignment="1" applyProtection="1">
      <alignment horizontal="center" vertical="center"/>
      <protection/>
    </xf>
    <xf numFmtId="0" fontId="2" fillId="38" borderId="0" xfId="0" applyFont="1" applyFill="1" applyBorder="1" applyAlignment="1" applyProtection="1">
      <alignment horizontal="left"/>
      <protection/>
    </xf>
    <xf numFmtId="168" fontId="2" fillId="38" borderId="0" xfId="0" applyNumberFormat="1" applyFont="1" applyFill="1" applyBorder="1" applyAlignment="1" applyProtection="1">
      <alignment/>
      <protection/>
    </xf>
    <xf numFmtId="168" fontId="2" fillId="38" borderId="159" xfId="0" applyNumberFormat="1" applyFont="1" applyFill="1" applyBorder="1" applyAlignment="1" applyProtection="1">
      <alignment horizontal="center"/>
      <protection/>
    </xf>
    <xf numFmtId="0" fontId="2" fillId="38" borderId="63" xfId="0" applyFont="1" applyFill="1" applyBorder="1" applyAlignment="1" applyProtection="1">
      <alignment horizontal="left" vertical="center"/>
      <protection/>
    </xf>
    <xf numFmtId="168" fontId="2" fillId="38" borderId="63" xfId="0" applyNumberFormat="1" applyFont="1" applyFill="1" applyBorder="1" applyAlignment="1" applyProtection="1">
      <alignment vertical="center"/>
      <protection/>
    </xf>
    <xf numFmtId="168" fontId="2" fillId="38" borderId="160" xfId="0" applyNumberFormat="1" applyFont="1" applyFill="1" applyBorder="1" applyAlignment="1" applyProtection="1">
      <alignment horizontal="center" vertical="center"/>
      <protection/>
    </xf>
    <xf numFmtId="0" fontId="6" fillId="0" borderId="0" xfId="0" applyFont="1" applyBorder="1" applyAlignment="1" applyProtection="1">
      <alignment/>
      <protection/>
    </xf>
    <xf numFmtId="183" fontId="75" fillId="0" borderId="143" xfId="0" applyNumberFormat="1" applyFont="1" applyBorder="1" applyAlignment="1" applyProtection="1">
      <alignment horizontal="center"/>
      <protection/>
    </xf>
    <xf numFmtId="183" fontId="75" fillId="0" borderId="161" xfId="0" applyNumberFormat="1" applyFont="1" applyBorder="1" applyAlignment="1" applyProtection="1">
      <alignment horizontal="center"/>
      <protection/>
    </xf>
    <xf numFmtId="183" fontId="75" fillId="0" borderId="162" xfId="0" applyNumberFormat="1" applyFont="1" applyBorder="1" applyAlignment="1" applyProtection="1">
      <alignment horizontal="center"/>
      <protection/>
    </xf>
    <xf numFmtId="3" fontId="82" fillId="0" borderId="143" xfId="42" applyNumberFormat="1" applyFont="1" applyBorder="1" applyAlignment="1" applyProtection="1">
      <alignment horizontal="center"/>
      <protection/>
    </xf>
    <xf numFmtId="183" fontId="42" fillId="0" borderId="136" xfId="0" applyNumberFormat="1" applyFont="1" applyBorder="1" applyAlignment="1" applyProtection="1">
      <alignment/>
      <protection/>
    </xf>
    <xf numFmtId="183" fontId="75" fillId="0" borderId="163" xfId="0" applyNumberFormat="1" applyFont="1" applyBorder="1" applyAlignment="1" applyProtection="1">
      <alignment horizontal="center"/>
      <protection/>
    </xf>
    <xf numFmtId="3" fontId="82" fillId="0" borderId="144" xfId="42" applyNumberFormat="1" applyFont="1" applyBorder="1" applyAlignment="1" applyProtection="1">
      <alignment horizontal="center"/>
      <protection/>
    </xf>
    <xf numFmtId="183" fontId="75" fillId="0" borderId="144" xfId="0" applyNumberFormat="1" applyFont="1" applyBorder="1" applyAlignment="1" applyProtection="1">
      <alignment horizontal="center"/>
      <protection/>
    </xf>
    <xf numFmtId="183" fontId="75" fillId="0" borderId="164" xfId="0" applyNumberFormat="1" applyFont="1" applyBorder="1" applyAlignment="1" applyProtection="1">
      <alignment horizontal="center"/>
      <protection/>
    </xf>
    <xf numFmtId="3" fontId="82" fillId="0" borderId="145" xfId="42" applyNumberFormat="1" applyFont="1" applyBorder="1" applyAlignment="1" applyProtection="1">
      <alignment horizontal="center"/>
      <protection/>
    </xf>
    <xf numFmtId="0" fontId="36" fillId="36" borderId="52" xfId="0" applyFont="1" applyFill="1" applyBorder="1" applyAlignment="1" applyProtection="1">
      <alignment horizontal="center" vertical="center"/>
      <protection locked="0"/>
    </xf>
    <xf numFmtId="0" fontId="0" fillId="0" borderId="0" xfId="0" applyAlignment="1" applyProtection="1">
      <alignment vertical="top" wrapText="1"/>
      <protection locked="0"/>
    </xf>
    <xf numFmtId="169" fontId="36" fillId="36" borderId="46" xfId="0" applyNumberFormat="1" applyFont="1" applyFill="1" applyBorder="1" applyAlignment="1" applyProtection="1">
      <alignment horizontal="center"/>
      <protection locked="0"/>
    </xf>
    <xf numFmtId="0" fontId="38" fillId="0" borderId="0" xfId="0" applyFont="1" applyAlignment="1" applyProtection="1">
      <alignment/>
      <protection/>
    </xf>
    <xf numFmtId="0" fontId="80" fillId="0" borderId="0" xfId="0" applyFont="1" applyAlignment="1" applyProtection="1">
      <alignment/>
      <protection/>
    </xf>
    <xf numFmtId="0" fontId="4" fillId="35" borderId="46" xfId="0" applyFont="1" applyFill="1" applyBorder="1" applyAlignment="1" applyProtection="1">
      <alignment horizontal="center"/>
      <protection/>
    </xf>
    <xf numFmtId="0" fontId="37" fillId="0" borderId="0" xfId="0" applyFont="1" applyAlignment="1" applyProtection="1">
      <alignment horizontal="right"/>
      <protection/>
    </xf>
    <xf numFmtId="0" fontId="0" fillId="0" borderId="0" xfId="0" applyAlignment="1" applyProtection="1">
      <alignment horizontal="left"/>
      <protection locked="0"/>
    </xf>
    <xf numFmtId="0" fontId="0" fillId="0" borderId="0" xfId="0" applyBorder="1" applyAlignment="1" applyProtection="1">
      <alignment wrapText="1"/>
      <protection locked="0"/>
    </xf>
    <xf numFmtId="0" fontId="0" fillId="0" borderId="0" xfId="0" applyBorder="1" applyAlignment="1" applyProtection="1">
      <alignment horizontal="center" vertical="center"/>
      <protection locked="0"/>
    </xf>
    <xf numFmtId="0" fontId="0" fillId="0" borderId="0" xfId="0" applyAlignment="1" applyProtection="1">
      <alignment/>
      <protection locked="0"/>
    </xf>
    <xf numFmtId="0" fontId="19" fillId="0" borderId="0" xfId="0" applyFont="1" applyAlignment="1" applyProtection="1">
      <alignment/>
      <protection locked="0"/>
    </xf>
    <xf numFmtId="10" fontId="10" fillId="36" borderId="44" xfId="51" applyNumberFormat="1" applyFont="1" applyFill="1" applyBorder="1" applyAlignment="1" applyProtection="1">
      <alignment horizontal="center"/>
      <protection locked="0"/>
    </xf>
    <xf numFmtId="187" fontId="0" fillId="0" borderId="0" xfId="51" applyNumberFormat="1" applyFont="1" applyAlignment="1" applyProtection="1">
      <alignment/>
      <protection locked="0"/>
    </xf>
    <xf numFmtId="0" fontId="0" fillId="33" borderId="81" xfId="0" applyFill="1" applyBorder="1" applyAlignment="1" applyProtection="1">
      <alignment horizontal="right"/>
      <protection/>
    </xf>
    <xf numFmtId="200" fontId="10" fillId="0" borderId="0" xfId="0" applyNumberFormat="1" applyFont="1" applyAlignment="1" applyProtection="1">
      <alignment horizontal="right"/>
      <protection/>
    </xf>
    <xf numFmtId="0" fontId="0" fillId="33" borderId="20" xfId="0" applyFill="1" applyBorder="1" applyAlignment="1" applyProtection="1">
      <alignment/>
      <protection/>
    </xf>
    <xf numFmtId="0" fontId="24" fillId="33" borderId="133" xfId="0" applyFont="1" applyFill="1" applyBorder="1" applyAlignment="1" applyProtection="1">
      <alignment horizontal="left"/>
      <protection/>
    </xf>
    <xf numFmtId="0" fontId="1" fillId="33" borderId="60" xfId="0" applyFont="1" applyFill="1" applyBorder="1" applyAlignment="1" applyProtection="1">
      <alignment horizontal="left"/>
      <protection/>
    </xf>
    <xf numFmtId="173" fontId="0" fillId="33" borderId="60" xfId="42" applyNumberFormat="1" applyFont="1" applyFill="1" applyBorder="1" applyAlignment="1" applyProtection="1">
      <alignment horizontal="center"/>
      <protection/>
    </xf>
    <xf numFmtId="171" fontId="1" fillId="33" borderId="134" xfId="0" applyNumberFormat="1" applyFont="1" applyFill="1" applyBorder="1" applyAlignment="1" applyProtection="1">
      <alignment vertical="center"/>
      <protection/>
    </xf>
    <xf numFmtId="0" fontId="8" fillId="33" borderId="18" xfId="0" applyFont="1" applyFill="1" applyBorder="1" applyAlignment="1" applyProtection="1">
      <alignment horizontal="left"/>
      <protection/>
    </xf>
    <xf numFmtId="0" fontId="1" fillId="33" borderId="0" xfId="0" applyFont="1" applyFill="1" applyBorder="1" applyAlignment="1" applyProtection="1">
      <alignment horizontal="left"/>
      <protection/>
    </xf>
    <xf numFmtId="173" fontId="0" fillId="33" borderId="0" xfId="42" applyNumberFormat="1" applyFont="1" applyFill="1" applyBorder="1" applyAlignment="1" applyProtection="1">
      <alignment horizontal="center"/>
      <protection/>
    </xf>
    <xf numFmtId="171" fontId="1" fillId="33" borderId="19" xfId="0" applyNumberFormat="1" applyFont="1" applyFill="1" applyBorder="1" applyAlignment="1" applyProtection="1">
      <alignment vertical="center"/>
      <protection/>
    </xf>
    <xf numFmtId="0" fontId="93" fillId="33" borderId="18" xfId="0" applyFont="1" applyFill="1" applyBorder="1" applyAlignment="1" applyProtection="1">
      <alignment horizontal="left"/>
      <protection/>
    </xf>
    <xf numFmtId="173" fontId="83" fillId="33" borderId="0" xfId="42" applyNumberFormat="1" applyFont="1" applyFill="1" applyBorder="1" applyAlignment="1" applyProtection="1">
      <alignment horizontal="right"/>
      <protection/>
    </xf>
    <xf numFmtId="14" fontId="83" fillId="33" borderId="19" xfId="0" applyNumberFormat="1" applyFont="1" applyFill="1" applyBorder="1" applyAlignment="1" applyProtection="1">
      <alignment horizontal="left"/>
      <protection/>
    </xf>
    <xf numFmtId="14" fontId="83" fillId="33" borderId="81" xfId="0" applyNumberFormat="1" applyFont="1" applyFill="1" applyBorder="1" applyAlignment="1" applyProtection="1">
      <alignment horizontal="left" vertical="top" wrapText="1"/>
      <protection/>
    </xf>
    <xf numFmtId="0" fontId="23" fillId="33" borderId="0" xfId="0" applyFont="1" applyFill="1" applyAlignment="1" applyProtection="1">
      <alignment vertical="center"/>
      <protection/>
    </xf>
    <xf numFmtId="0" fontId="0" fillId="33" borderId="0" xfId="0" applyFill="1" applyBorder="1" applyAlignment="1" applyProtection="1">
      <alignment horizontal="left" vertical="center"/>
      <protection/>
    </xf>
    <xf numFmtId="0" fontId="0" fillId="33" borderId="0" xfId="0" applyFill="1" applyAlignment="1" applyProtection="1">
      <alignment horizontal="left" vertical="center"/>
      <protection/>
    </xf>
    <xf numFmtId="0" fontId="0" fillId="0" borderId="0" xfId="0" applyAlignment="1" applyProtection="1">
      <alignment horizontal="left" wrapText="1"/>
      <protection/>
    </xf>
    <xf numFmtId="0" fontId="0" fillId="0" borderId="0" xfId="0" applyBorder="1" applyAlignment="1" applyProtection="1">
      <alignment wrapText="1"/>
      <protection/>
    </xf>
    <xf numFmtId="0" fontId="6" fillId="0" borderId="0" xfId="0" applyFont="1" applyBorder="1" applyAlignment="1" applyProtection="1">
      <alignment horizontal="left"/>
      <protection/>
    </xf>
    <xf numFmtId="0" fontId="0" fillId="0" borderId="0" xfId="0" applyBorder="1" applyAlignment="1" applyProtection="1">
      <alignment horizontal="center" vertical="center"/>
      <protection/>
    </xf>
    <xf numFmtId="174" fontId="0" fillId="35" borderId="46" xfId="0" applyNumberFormat="1" applyFill="1" applyBorder="1" applyAlignment="1" applyProtection="1">
      <alignment horizontal="right" vertical="center"/>
      <protection/>
    </xf>
    <xf numFmtId="0" fontId="0" fillId="0" borderId="0" xfId="0" applyFont="1" applyAlignment="1" applyProtection="1">
      <alignment horizontal="center"/>
      <protection/>
    </xf>
    <xf numFmtId="174" fontId="0" fillId="0" borderId="0" xfId="0" applyNumberFormat="1" applyBorder="1" applyAlignment="1" applyProtection="1">
      <alignment horizontal="center" vertical="center"/>
      <protection/>
    </xf>
    <xf numFmtId="0" fontId="0" fillId="0" borderId="165" xfId="0" applyBorder="1" applyAlignment="1" applyProtection="1">
      <alignment horizontal="center" vertical="center"/>
      <protection/>
    </xf>
    <xf numFmtId="176" fontId="0" fillId="0" borderId="165" xfId="0" applyNumberFormat="1" applyBorder="1" applyAlignment="1" applyProtection="1">
      <alignment horizontal="center" vertical="center"/>
      <protection/>
    </xf>
    <xf numFmtId="177" fontId="6" fillId="35" borderId="75" xfId="0" applyNumberFormat="1" applyFont="1" applyFill="1" applyBorder="1" applyAlignment="1" applyProtection="1">
      <alignment horizontal="center" vertical="center"/>
      <protection/>
    </xf>
    <xf numFmtId="0" fontId="0" fillId="0" borderId="0" xfId="0" applyFont="1" applyBorder="1" applyAlignment="1" applyProtection="1">
      <alignment horizontal="left"/>
      <protection/>
    </xf>
    <xf numFmtId="172" fontId="0" fillId="0" borderId="0" xfId="0" applyNumberFormat="1" applyBorder="1" applyAlignment="1" applyProtection="1">
      <alignment horizontal="right"/>
      <protection/>
    </xf>
    <xf numFmtId="0" fontId="6" fillId="0" borderId="0" xfId="0" applyFont="1" applyAlignment="1" applyProtection="1">
      <alignment horizontal="center"/>
      <protection/>
    </xf>
    <xf numFmtId="178" fontId="0" fillId="0" borderId="0" xfId="0" applyNumberFormat="1" applyAlignment="1" applyProtection="1">
      <alignment horizontal="center"/>
      <protection/>
    </xf>
    <xf numFmtId="176" fontId="0" fillId="35" borderId="140" xfId="0" applyNumberFormat="1" applyFill="1" applyBorder="1" applyAlignment="1" applyProtection="1">
      <alignment horizontal="center"/>
      <protection/>
    </xf>
    <xf numFmtId="177" fontId="6" fillId="0" borderId="52" xfId="0" applyNumberFormat="1" applyFont="1" applyBorder="1" applyAlignment="1" applyProtection="1">
      <alignment horizontal="left" vertical="center"/>
      <protection/>
    </xf>
    <xf numFmtId="177" fontId="6" fillId="0" borderId="0" xfId="0" applyNumberFormat="1" applyFont="1" applyBorder="1" applyAlignment="1" applyProtection="1">
      <alignment horizontal="left" vertical="center"/>
      <protection/>
    </xf>
    <xf numFmtId="176" fontId="0" fillId="0" borderId="0" xfId="0" applyNumberFormat="1" applyAlignment="1" applyProtection="1">
      <alignment horizontal="left"/>
      <protection/>
    </xf>
    <xf numFmtId="177" fontId="0" fillId="0" borderId="0" xfId="0" applyNumberFormat="1" applyBorder="1" applyAlignment="1" applyProtection="1">
      <alignment horizontal="left" vertical="center"/>
      <protection/>
    </xf>
    <xf numFmtId="176" fontId="0" fillId="0" borderId="0" xfId="0" applyNumberFormat="1" applyFont="1" applyBorder="1" applyAlignment="1" applyProtection="1">
      <alignment horizontal="right"/>
      <protection/>
    </xf>
    <xf numFmtId="176" fontId="0" fillId="35" borderId="166" xfId="0" applyNumberFormat="1" applyFill="1" applyBorder="1" applyAlignment="1" applyProtection="1">
      <alignment horizontal="center"/>
      <protection/>
    </xf>
    <xf numFmtId="177" fontId="6" fillId="0" borderId="167" xfId="0" applyNumberFormat="1" applyFont="1" applyBorder="1" applyAlignment="1" applyProtection="1">
      <alignment horizontal="right" vertical="center"/>
      <protection/>
    </xf>
    <xf numFmtId="177" fontId="6" fillId="0" borderId="168" xfId="0" applyNumberFormat="1" applyFont="1" applyBorder="1" applyAlignment="1" applyProtection="1">
      <alignment horizontal="right" vertical="center"/>
      <protection/>
    </xf>
    <xf numFmtId="0" fontId="0" fillId="0" borderId="169" xfId="0" applyBorder="1" applyAlignment="1" applyProtection="1">
      <alignment horizontal="left"/>
      <protection/>
    </xf>
    <xf numFmtId="0" fontId="0" fillId="0" borderId="170" xfId="0" applyBorder="1" applyAlignment="1" applyProtection="1">
      <alignment horizontal="left"/>
      <protection/>
    </xf>
    <xf numFmtId="0" fontId="13" fillId="33" borderId="0" xfId="0" applyFont="1" applyFill="1" applyBorder="1" applyAlignment="1" applyProtection="1">
      <alignment horizontal="left" vertical="center"/>
      <protection/>
    </xf>
    <xf numFmtId="0" fontId="15" fillId="33" borderId="0" xfId="0" applyFont="1" applyFill="1" applyBorder="1" applyAlignment="1" applyProtection="1">
      <alignment horizontal="left" vertical="center"/>
      <protection/>
    </xf>
    <xf numFmtId="0" fontId="0" fillId="0" borderId="169" xfId="0" applyBorder="1" applyAlignment="1" applyProtection="1">
      <alignment/>
      <protection/>
    </xf>
    <xf numFmtId="0" fontId="0" fillId="0" borderId="170" xfId="0" applyBorder="1" applyAlignment="1" applyProtection="1">
      <alignment/>
      <protection/>
    </xf>
    <xf numFmtId="0" fontId="0" fillId="0" borderId="0"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0" fillId="0" borderId="170" xfId="0" applyBorder="1" applyAlignment="1" applyProtection="1">
      <alignment horizontal="center"/>
      <protection/>
    </xf>
    <xf numFmtId="0" fontId="0" fillId="0" borderId="0" xfId="0" applyBorder="1" applyAlignment="1" applyProtection="1">
      <alignment horizontal="right"/>
      <protection/>
    </xf>
    <xf numFmtId="177" fontId="0" fillId="0" borderId="0" xfId="0" applyNumberFormat="1" applyAlignment="1" applyProtection="1">
      <alignment/>
      <protection/>
    </xf>
    <xf numFmtId="0" fontId="0" fillId="0" borderId="0" xfId="0" applyBorder="1" applyAlignment="1" applyProtection="1">
      <alignment horizontal="center"/>
      <protection/>
    </xf>
    <xf numFmtId="0" fontId="0" fillId="0" borderId="0" xfId="0" applyAlignment="1" applyProtection="1">
      <alignment horizontal="center"/>
      <protection/>
    </xf>
    <xf numFmtId="168" fontId="0" fillId="0" borderId="171" xfId="0" applyNumberFormat="1" applyFill="1" applyBorder="1" applyAlignment="1" applyProtection="1">
      <alignment horizontal="right" vertical="center"/>
      <protection/>
    </xf>
    <xf numFmtId="0" fontId="0" fillId="0" borderId="172" xfId="0" applyBorder="1" applyAlignment="1" applyProtection="1">
      <alignment horizontal="center"/>
      <protection/>
    </xf>
    <xf numFmtId="0" fontId="0" fillId="0" borderId="169" xfId="0" applyBorder="1" applyAlignment="1" applyProtection="1">
      <alignment horizontal="center"/>
      <protection/>
    </xf>
    <xf numFmtId="168" fontId="0" fillId="0" borderId="172" xfId="0" applyNumberFormat="1" applyFill="1" applyBorder="1" applyAlignment="1" applyProtection="1">
      <alignment horizontal="right" vertical="center"/>
      <protection/>
    </xf>
    <xf numFmtId="168" fontId="0" fillId="0" borderId="173" xfId="0" applyNumberFormat="1" applyFill="1" applyBorder="1" applyAlignment="1" applyProtection="1">
      <alignment horizontal="right" vertical="center"/>
      <protection/>
    </xf>
    <xf numFmtId="168" fontId="0" fillId="0" borderId="174" xfId="0" applyNumberFormat="1" applyFill="1" applyBorder="1" applyAlignment="1" applyProtection="1">
      <alignment horizontal="right" vertical="center"/>
      <protection/>
    </xf>
    <xf numFmtId="169" fontId="0" fillId="0" borderId="19" xfId="0" applyNumberFormat="1" applyFill="1" applyBorder="1" applyAlignment="1" applyProtection="1">
      <alignment horizontal="center"/>
      <protection/>
    </xf>
    <xf numFmtId="169" fontId="0" fillId="0" borderId="0" xfId="0" applyNumberFormat="1" applyBorder="1" applyAlignment="1" applyProtection="1">
      <alignment horizontal="center"/>
      <protection/>
    </xf>
    <xf numFmtId="169" fontId="4" fillId="0" borderId="52" xfId="0" applyNumberFormat="1" applyFont="1" applyFill="1" applyBorder="1" applyAlignment="1" applyProtection="1">
      <alignment horizontal="right" vertical="center"/>
      <protection/>
    </xf>
    <xf numFmtId="0" fontId="7" fillId="0" borderId="175" xfId="0" applyFont="1" applyBorder="1" applyAlignment="1" applyProtection="1">
      <alignment horizontal="left" vertical="center"/>
      <protection/>
    </xf>
    <xf numFmtId="176" fontId="0" fillId="0" borderId="0" xfId="0" applyNumberFormat="1" applyBorder="1" applyAlignment="1" applyProtection="1">
      <alignment/>
      <protection/>
    </xf>
    <xf numFmtId="181" fontId="0" fillId="0" borderId="0" xfId="0" applyNumberFormat="1" applyAlignment="1" applyProtection="1">
      <alignment horizontal="center"/>
      <protection/>
    </xf>
    <xf numFmtId="169" fontId="0" fillId="0" borderId="46" xfId="0" applyNumberFormat="1" applyFill="1" applyBorder="1" applyAlignment="1" applyProtection="1">
      <alignment horizontal="right" wrapText="1"/>
      <protection/>
    </xf>
    <xf numFmtId="0" fontId="0" fillId="0" borderId="18" xfId="0" applyBorder="1" applyAlignment="1" applyProtection="1">
      <alignment horizontal="right"/>
      <protection/>
    </xf>
    <xf numFmtId="14" fontId="0" fillId="0" borderId="46" xfId="0" applyNumberFormat="1" applyFont="1" applyFill="1" applyBorder="1" applyAlignment="1" applyProtection="1">
      <alignment horizontal="right" vertical="center"/>
      <protection/>
    </xf>
    <xf numFmtId="10" fontId="0" fillId="35" borderId="46" xfId="0" applyNumberFormat="1" applyFill="1" applyBorder="1" applyAlignment="1" applyProtection="1">
      <alignment horizontal="right"/>
      <protection/>
    </xf>
    <xf numFmtId="186" fontId="0" fillId="35" borderId="46" xfId="0" applyNumberFormat="1" applyFill="1" applyBorder="1" applyAlignment="1" applyProtection="1">
      <alignment horizontal="right"/>
      <protection/>
    </xf>
    <xf numFmtId="0" fontId="4" fillId="0" borderId="146" xfId="0" applyFont="1" applyBorder="1" applyAlignment="1" applyProtection="1">
      <alignment/>
      <protection/>
    </xf>
    <xf numFmtId="169" fontId="4" fillId="0" borderId="176" xfId="0" applyNumberFormat="1" applyFont="1" applyBorder="1" applyAlignment="1" applyProtection="1">
      <alignment/>
      <protection/>
    </xf>
    <xf numFmtId="0" fontId="6" fillId="0" borderId="0" xfId="0" applyFont="1" applyAlignment="1" applyProtection="1">
      <alignment/>
      <protection/>
    </xf>
    <xf numFmtId="0" fontId="4" fillId="0" borderId="19" xfId="0" applyFont="1" applyBorder="1" applyAlignment="1" applyProtection="1">
      <alignment/>
      <protection/>
    </xf>
    <xf numFmtId="169" fontId="4" fillId="0" borderId="17" xfId="0" applyNumberFormat="1" applyFont="1" applyBorder="1" applyAlignment="1" applyProtection="1">
      <alignment/>
      <protection/>
    </xf>
    <xf numFmtId="0" fontId="17" fillId="0" borderId="119" xfId="0" applyFont="1" applyBorder="1" applyAlignment="1" applyProtection="1">
      <alignment horizontal="center" vertical="center"/>
      <protection/>
    </xf>
    <xf numFmtId="0" fontId="17" fillId="0" borderId="122" xfId="0" applyFont="1" applyBorder="1" applyAlignment="1" applyProtection="1">
      <alignment horizontal="center" vertical="center"/>
      <protection/>
    </xf>
    <xf numFmtId="0" fontId="17" fillId="0" borderId="124" xfId="0" applyFont="1" applyBorder="1" applyAlignment="1" applyProtection="1">
      <alignment horizontal="center" vertical="center"/>
      <protection/>
    </xf>
    <xf numFmtId="2" fontId="18" fillId="33" borderId="127" xfId="0" applyNumberFormat="1" applyFont="1" applyFill="1" applyBorder="1" applyAlignment="1" applyProtection="1">
      <alignment horizontal="center" vertical="center"/>
      <protection/>
    </xf>
    <xf numFmtId="184" fontId="18" fillId="33" borderId="127" xfId="51" applyNumberFormat="1" applyFont="1" applyFill="1" applyBorder="1" applyAlignment="1" applyProtection="1">
      <alignment horizontal="center" vertical="center"/>
      <protection/>
    </xf>
    <xf numFmtId="0" fontId="18" fillId="0" borderId="127" xfId="0" applyFont="1" applyBorder="1" applyAlignment="1" applyProtection="1">
      <alignment horizontal="center" vertical="center"/>
      <protection/>
    </xf>
    <xf numFmtId="184" fontId="18" fillId="0" borderId="127" xfId="0" applyNumberFormat="1" applyFont="1" applyBorder="1" applyAlignment="1" applyProtection="1">
      <alignment horizontal="center" vertical="center"/>
      <protection/>
    </xf>
    <xf numFmtId="0" fontId="18" fillId="0" borderId="124" xfId="0" applyFont="1" applyBorder="1" applyAlignment="1" applyProtection="1">
      <alignment horizontal="center" vertical="center"/>
      <protection/>
    </xf>
    <xf numFmtId="184" fontId="18" fillId="0" borderId="124" xfId="0" applyNumberFormat="1" applyFont="1" applyBorder="1" applyAlignment="1" applyProtection="1">
      <alignment horizontal="center" vertical="center"/>
      <protection/>
    </xf>
    <xf numFmtId="189" fontId="19" fillId="0" borderId="0" xfId="0" applyNumberFormat="1" applyFont="1" applyAlignment="1" applyProtection="1">
      <alignment vertical="center"/>
      <protection/>
    </xf>
    <xf numFmtId="189" fontId="20" fillId="0" borderId="0" xfId="0" applyNumberFormat="1" applyFont="1" applyAlignment="1" applyProtection="1">
      <alignment horizontal="left" vertical="center"/>
      <protection/>
    </xf>
    <xf numFmtId="189" fontId="19" fillId="0" borderId="0" xfId="0" applyNumberFormat="1" applyFont="1" applyAlignment="1" applyProtection="1">
      <alignment/>
      <protection/>
    </xf>
    <xf numFmtId="189" fontId="19" fillId="33" borderId="0" xfId="0" applyNumberFormat="1" applyFont="1" applyFill="1" applyAlignment="1" applyProtection="1">
      <alignment/>
      <protection/>
    </xf>
    <xf numFmtId="189" fontId="21" fillId="33" borderId="0" xfId="0" applyNumberFormat="1" applyFont="1" applyFill="1" applyAlignment="1" applyProtection="1">
      <alignment horizontal="right"/>
      <protection/>
    </xf>
    <xf numFmtId="0" fontId="19" fillId="0" borderId="0" xfId="0" applyFont="1" applyAlignment="1" applyProtection="1">
      <alignment/>
      <protection/>
    </xf>
    <xf numFmtId="0" fontId="10" fillId="0" borderId="88" xfId="0" applyFont="1" applyBorder="1" applyAlignment="1" applyProtection="1">
      <alignment horizontal="center"/>
      <protection/>
    </xf>
    <xf numFmtId="0" fontId="10" fillId="0" borderId="177" xfId="0" applyFont="1" applyBorder="1" applyAlignment="1" applyProtection="1">
      <alignment horizontal="center"/>
      <protection/>
    </xf>
    <xf numFmtId="173" fontId="10" fillId="0" borderId="178" xfId="0" applyNumberFormat="1" applyFont="1" applyBorder="1" applyAlignment="1" applyProtection="1">
      <alignment horizontal="center"/>
      <protection/>
    </xf>
    <xf numFmtId="173" fontId="10" fillId="0" borderId="179" xfId="0" applyNumberFormat="1" applyFont="1" applyBorder="1" applyAlignment="1" applyProtection="1">
      <alignment horizontal="center"/>
      <protection/>
    </xf>
    <xf numFmtId="173" fontId="10" fillId="0" borderId="18" xfId="0" applyNumberFormat="1" applyFont="1" applyBorder="1" applyAlignment="1" applyProtection="1">
      <alignment horizontal="center"/>
      <protection/>
    </xf>
    <xf numFmtId="173" fontId="10" fillId="0" borderId="180" xfId="0" applyNumberFormat="1" applyFont="1" applyBorder="1" applyAlignment="1" applyProtection="1">
      <alignment horizontal="center"/>
      <protection/>
    </xf>
    <xf numFmtId="173" fontId="10" fillId="0" borderId="181" xfId="0" applyNumberFormat="1" applyFont="1" applyBorder="1" applyAlignment="1" applyProtection="1">
      <alignment horizontal="center"/>
      <protection/>
    </xf>
    <xf numFmtId="173" fontId="10" fillId="0" borderId="182" xfId="0" applyNumberFormat="1" applyFont="1" applyBorder="1" applyAlignment="1" applyProtection="1">
      <alignment horizontal="center"/>
      <protection/>
    </xf>
    <xf numFmtId="173" fontId="10" fillId="0" borderId="183" xfId="0" applyNumberFormat="1" applyFont="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186" fontId="0" fillId="0" borderId="0" xfId="0" applyNumberFormat="1" applyAlignment="1" applyProtection="1">
      <alignment/>
      <protection/>
    </xf>
    <xf numFmtId="186" fontId="0" fillId="0" borderId="0" xfId="51" applyNumberFormat="1" applyFont="1" applyAlignment="1" applyProtection="1">
      <alignment/>
      <protection/>
    </xf>
    <xf numFmtId="187" fontId="0" fillId="0" borderId="0" xfId="0" applyNumberFormat="1" applyAlignment="1" applyProtection="1">
      <alignment/>
      <protection/>
    </xf>
    <xf numFmtId="2" fontId="0" fillId="0" borderId="0" xfId="0" applyNumberFormat="1" applyAlignment="1" applyProtection="1">
      <alignment/>
      <protection locked="0"/>
    </xf>
    <xf numFmtId="191" fontId="0" fillId="35" borderId="166" xfId="42" applyNumberFormat="1" applyFont="1" applyFill="1" applyBorder="1" applyAlignment="1" applyProtection="1">
      <alignment horizontal="center" vertical="center"/>
      <protection/>
    </xf>
    <xf numFmtId="175" fontId="0" fillId="35" borderId="46" xfId="0" applyNumberFormat="1" applyFill="1" applyBorder="1" applyAlignment="1" applyProtection="1">
      <alignment horizontal="center"/>
      <protection/>
    </xf>
    <xf numFmtId="176" fontId="0" fillId="35" borderId="46" xfId="0" applyNumberFormat="1" applyFill="1" applyBorder="1" applyAlignment="1" applyProtection="1">
      <alignment horizontal="center" vertical="center"/>
      <protection/>
    </xf>
    <xf numFmtId="0" fontId="6" fillId="0" borderId="0" xfId="0" applyFont="1" applyAlignment="1" applyProtection="1">
      <alignment/>
      <protection/>
    </xf>
    <xf numFmtId="193" fontId="0" fillId="35" borderId="46" xfId="0" applyNumberFormat="1" applyFill="1" applyBorder="1" applyAlignment="1" applyProtection="1">
      <alignment horizontal="center"/>
      <protection/>
    </xf>
    <xf numFmtId="172" fontId="0" fillId="35" borderId="46" xfId="0" applyNumberFormat="1" applyFill="1" applyBorder="1" applyAlignment="1" applyProtection="1">
      <alignment horizontal="right"/>
      <protection/>
    </xf>
    <xf numFmtId="172" fontId="6" fillId="35" borderId="46" xfId="0" applyNumberFormat="1" applyFont="1" applyFill="1" applyBorder="1" applyAlignment="1" applyProtection="1">
      <alignment horizontal="right"/>
      <protection/>
    </xf>
    <xf numFmtId="0" fontId="30" fillId="0" borderId="11" xfId="0" applyFont="1" applyBorder="1" applyAlignment="1" applyProtection="1">
      <alignment/>
      <protection/>
    </xf>
    <xf numFmtId="0" fontId="0" fillId="0" borderId="13" xfId="0" applyBorder="1" applyAlignment="1" applyProtection="1">
      <alignment/>
      <protection/>
    </xf>
    <xf numFmtId="0" fontId="32" fillId="33" borderId="0" xfId="0" applyFont="1" applyFill="1" applyBorder="1" applyAlignment="1" applyProtection="1">
      <alignment horizontal="left" vertical="center"/>
      <protection/>
    </xf>
    <xf numFmtId="0" fontId="0" fillId="0" borderId="10" xfId="0" applyBorder="1" applyAlignment="1" applyProtection="1">
      <alignment/>
      <protection/>
    </xf>
    <xf numFmtId="169" fontId="4" fillId="35" borderId="52" xfId="0" applyNumberFormat="1" applyFont="1" applyFill="1" applyBorder="1" applyAlignment="1" applyProtection="1">
      <alignment horizontal="right" vertical="center"/>
      <protection/>
    </xf>
    <xf numFmtId="169" fontId="0" fillId="35" borderId="46" xfId="0" applyNumberFormat="1" applyFill="1" applyBorder="1" applyAlignment="1" applyProtection="1">
      <alignment horizontal="center" wrapText="1"/>
      <protection/>
    </xf>
    <xf numFmtId="0" fontId="0" fillId="0" borderId="19" xfId="0" applyFont="1" applyBorder="1" applyAlignment="1" applyProtection="1" quotePrefix="1">
      <alignment horizontal="center"/>
      <protection/>
    </xf>
    <xf numFmtId="0" fontId="6" fillId="0" borderId="11" xfId="0" applyFont="1" applyBorder="1" applyAlignment="1" applyProtection="1">
      <alignment/>
      <protection/>
    </xf>
    <xf numFmtId="0" fontId="0" fillId="0" borderId="12" xfId="0" applyBorder="1" applyAlignment="1" applyProtection="1">
      <alignment horizontal="left"/>
      <protection/>
    </xf>
    <xf numFmtId="0" fontId="6" fillId="0" borderId="14" xfId="0" applyFont="1" applyBorder="1" applyAlignment="1" applyProtection="1">
      <alignment/>
      <protection/>
    </xf>
    <xf numFmtId="172" fontId="0" fillId="0" borderId="0" xfId="0" applyNumberFormat="1" applyBorder="1" applyAlignment="1" applyProtection="1">
      <alignment horizontal="center"/>
      <protection/>
    </xf>
    <xf numFmtId="10" fontId="0" fillId="0" borderId="184" xfId="51" applyNumberFormat="1" applyFont="1" applyBorder="1" applyAlignment="1" applyProtection="1">
      <alignment horizontal="center"/>
      <protection/>
    </xf>
    <xf numFmtId="0" fontId="6" fillId="0" borderId="185" xfId="0" applyFont="1" applyBorder="1" applyAlignment="1" applyProtection="1">
      <alignment/>
      <protection/>
    </xf>
    <xf numFmtId="0" fontId="0" fillId="0" borderId="10" xfId="0" applyBorder="1" applyAlignment="1" applyProtection="1">
      <alignment horizontal="left"/>
      <protection/>
    </xf>
    <xf numFmtId="0" fontId="0" fillId="0" borderId="10" xfId="0" applyBorder="1" applyAlignment="1" applyProtection="1">
      <alignment horizontal="right"/>
      <protection/>
    </xf>
    <xf numFmtId="169" fontId="0" fillId="0" borderId="10" xfId="0" applyNumberFormat="1" applyBorder="1" applyAlignment="1" applyProtection="1">
      <alignment horizontal="center"/>
      <protection/>
    </xf>
    <xf numFmtId="10" fontId="0" fillId="0" borderId="71" xfId="51" applyNumberFormat="1" applyFont="1" applyBorder="1" applyAlignment="1" applyProtection="1">
      <alignment horizontal="center"/>
      <protection/>
    </xf>
    <xf numFmtId="189" fontId="19" fillId="0" borderId="186" xfId="0" applyNumberFormat="1" applyFont="1" applyBorder="1" applyAlignment="1" applyProtection="1">
      <alignment vertical="center"/>
      <protection/>
    </xf>
    <xf numFmtId="189" fontId="19" fillId="0" borderId="187" xfId="0" applyNumberFormat="1" applyFont="1" applyBorder="1" applyAlignment="1" applyProtection="1">
      <alignment vertical="center"/>
      <protection/>
    </xf>
    <xf numFmtId="189" fontId="19" fillId="0" borderId="188" xfId="0" applyNumberFormat="1" applyFont="1" applyBorder="1" applyAlignment="1" applyProtection="1">
      <alignment vertical="center"/>
      <protection/>
    </xf>
    <xf numFmtId="189" fontId="19" fillId="0" borderId="189" xfId="0" applyNumberFormat="1" applyFont="1" applyBorder="1" applyAlignment="1" applyProtection="1">
      <alignment vertical="center"/>
      <protection/>
    </xf>
    <xf numFmtId="189" fontId="20" fillId="0" borderId="0" xfId="0" applyNumberFormat="1" applyFont="1" applyBorder="1" applyAlignment="1" applyProtection="1">
      <alignment horizontal="left" vertical="center"/>
      <protection/>
    </xf>
    <xf numFmtId="189" fontId="19" fillId="0" borderId="0" xfId="0" applyNumberFormat="1" applyFont="1" applyBorder="1" applyAlignment="1" applyProtection="1">
      <alignment vertical="center"/>
      <protection/>
    </xf>
    <xf numFmtId="189" fontId="19" fillId="0" borderId="129" xfId="0" applyNumberFormat="1" applyFont="1" applyBorder="1" applyAlignment="1" applyProtection="1">
      <alignment vertical="center"/>
      <protection/>
    </xf>
    <xf numFmtId="189" fontId="19" fillId="0" borderId="189" xfId="0" applyNumberFormat="1" applyFont="1" applyBorder="1" applyAlignment="1" applyProtection="1">
      <alignment/>
      <protection/>
    </xf>
    <xf numFmtId="189" fontId="19" fillId="33" borderId="0" xfId="0" applyNumberFormat="1" applyFont="1" applyFill="1" applyBorder="1" applyAlignment="1" applyProtection="1">
      <alignment/>
      <protection/>
    </xf>
    <xf numFmtId="189" fontId="21" fillId="33" borderId="0" xfId="0" applyNumberFormat="1" applyFont="1" applyFill="1" applyBorder="1" applyAlignment="1" applyProtection="1">
      <alignment horizontal="right"/>
      <protection/>
    </xf>
    <xf numFmtId="0" fontId="19" fillId="0" borderId="0" xfId="0" applyFont="1" applyBorder="1" applyAlignment="1" applyProtection="1">
      <alignment/>
      <protection/>
    </xf>
    <xf numFmtId="189" fontId="19" fillId="0" borderId="129" xfId="0" applyNumberFormat="1" applyFont="1" applyBorder="1" applyAlignment="1" applyProtection="1">
      <alignment/>
      <protection/>
    </xf>
    <xf numFmtId="0" fontId="0" fillId="0" borderId="190" xfId="0" applyBorder="1" applyAlignment="1" applyProtection="1">
      <alignment/>
      <protection/>
    </xf>
    <xf numFmtId="0" fontId="19" fillId="0" borderId="30" xfId="0" applyFont="1" applyBorder="1" applyAlignment="1" applyProtection="1">
      <alignment/>
      <protection/>
    </xf>
    <xf numFmtId="0" fontId="0" fillId="0" borderId="30" xfId="0" applyBorder="1" applyAlignment="1" applyProtection="1">
      <alignment/>
      <protection/>
    </xf>
    <xf numFmtId="0" fontId="19" fillId="0" borderId="43" xfId="0" applyFont="1" applyBorder="1" applyAlignment="1" applyProtection="1">
      <alignment/>
      <protection/>
    </xf>
    <xf numFmtId="14" fontId="19" fillId="0" borderId="0" xfId="0" applyNumberFormat="1" applyFont="1" applyAlignment="1" applyProtection="1">
      <alignment/>
      <protection/>
    </xf>
    <xf numFmtId="200" fontId="19" fillId="0" borderId="0" xfId="0" applyNumberFormat="1" applyFont="1" applyAlignment="1" applyProtection="1">
      <alignment/>
      <protection/>
    </xf>
    <xf numFmtId="189" fontId="0" fillId="0" borderId="152" xfId="0" applyNumberFormat="1" applyBorder="1" applyAlignment="1" applyProtection="1">
      <alignment/>
      <protection/>
    </xf>
    <xf numFmtId="189" fontId="0" fillId="0" borderId="191" xfId="0" applyNumberFormat="1" applyBorder="1" applyAlignment="1" applyProtection="1">
      <alignment/>
      <protection/>
    </xf>
    <xf numFmtId="188" fontId="0" fillId="0" borderId="0" xfId="0" applyNumberFormat="1" applyAlignment="1" applyProtection="1">
      <alignment horizontal="center"/>
      <protection/>
    </xf>
    <xf numFmtId="189" fontId="0" fillId="0" borderId="0" xfId="0" applyNumberFormat="1" applyAlignment="1" applyProtection="1">
      <alignment/>
      <protection/>
    </xf>
    <xf numFmtId="0" fontId="4" fillId="0" borderId="0" xfId="0" applyFont="1" applyAlignment="1" applyProtection="1">
      <alignment horizontal="right"/>
      <protection/>
    </xf>
    <xf numFmtId="189" fontId="4" fillId="0" borderId="0" xfId="0" applyNumberFormat="1" applyFont="1" applyAlignment="1" applyProtection="1">
      <alignment horizontal="right"/>
      <protection/>
    </xf>
    <xf numFmtId="49" fontId="0" fillId="0" borderId="0" xfId="0" applyNumberFormat="1" applyAlignment="1" applyProtection="1">
      <alignment/>
      <protection/>
    </xf>
    <xf numFmtId="188" fontId="6" fillId="0" borderId="0" xfId="0" applyNumberFormat="1" applyFont="1" applyAlignment="1" applyProtection="1">
      <alignment horizontal="right"/>
      <protection/>
    </xf>
    <xf numFmtId="189" fontId="0" fillId="0" borderId="0" xfId="0" applyNumberFormat="1" applyAlignment="1" applyProtection="1">
      <alignment horizontal="right"/>
      <protection/>
    </xf>
    <xf numFmtId="188" fontId="0" fillId="0" borderId="10" xfId="0" applyNumberFormat="1" applyBorder="1" applyAlignment="1" applyProtection="1">
      <alignment horizontal="center"/>
      <protection/>
    </xf>
    <xf numFmtId="188" fontId="6" fillId="0" borderId="10" xfId="0" applyNumberFormat="1" applyFont="1" applyBorder="1" applyAlignment="1" applyProtection="1">
      <alignment horizontal="right"/>
      <protection/>
    </xf>
    <xf numFmtId="189" fontId="0" fillId="0" borderId="10" xfId="0" applyNumberFormat="1" applyBorder="1" applyAlignment="1" applyProtection="1">
      <alignment/>
      <protection/>
    </xf>
    <xf numFmtId="189" fontId="4" fillId="0" borderId="192" xfId="0" applyNumberFormat="1" applyFont="1" applyBorder="1" applyAlignment="1" applyProtection="1">
      <alignment horizontal="right"/>
      <protection/>
    </xf>
    <xf numFmtId="10" fontId="10" fillId="35" borderId="44" xfId="51" applyNumberFormat="1" applyFont="1" applyFill="1" applyBorder="1" applyAlignment="1" applyProtection="1">
      <alignment horizontal="center"/>
      <protection/>
    </xf>
    <xf numFmtId="2" fontId="27" fillId="0" borderId="0" xfId="0" applyNumberFormat="1" applyFont="1" applyAlignment="1" applyProtection="1">
      <alignment horizontal="center" vertical="center"/>
      <protection/>
    </xf>
    <xf numFmtId="0" fontId="95" fillId="0" borderId="0" xfId="0" applyFont="1" applyAlignment="1" applyProtection="1">
      <alignment horizontal="right" vertical="center"/>
      <protection/>
    </xf>
    <xf numFmtId="1" fontId="19" fillId="0" borderId="0" xfId="0" applyNumberFormat="1" applyFont="1" applyAlignment="1" applyProtection="1">
      <alignment horizontal="center"/>
      <protection/>
    </xf>
    <xf numFmtId="0" fontId="37" fillId="0" borderId="0" xfId="0" applyFont="1" applyAlignment="1">
      <alignment horizontal="right"/>
    </xf>
    <xf numFmtId="3" fontId="25" fillId="0" borderId="0" xfId="0" applyNumberFormat="1" applyFont="1" applyAlignment="1">
      <alignment horizontal="center"/>
    </xf>
    <xf numFmtId="0" fontId="4" fillId="0" borderId="193" xfId="0" applyFont="1" applyBorder="1" applyAlignment="1">
      <alignment horizontal="center" vertical="center" wrapText="1"/>
    </xf>
    <xf numFmtId="204" fontId="35" fillId="35" borderId="52" xfId="0" applyNumberFormat="1" applyFont="1" applyFill="1" applyBorder="1" applyAlignment="1">
      <alignment horizontal="center"/>
    </xf>
    <xf numFmtId="0" fontId="58" fillId="0" borderId="193" xfId="0" applyFont="1" applyBorder="1" applyAlignment="1">
      <alignment horizontal="center" vertical="center"/>
    </xf>
    <xf numFmtId="14" fontId="4" fillId="35" borderId="52" xfId="0" applyNumberFormat="1" applyFont="1" applyFill="1" applyBorder="1" applyAlignment="1" applyProtection="1">
      <alignment/>
      <protection/>
    </xf>
    <xf numFmtId="0" fontId="82" fillId="34" borderId="137" xfId="0" applyFont="1" applyFill="1" applyBorder="1" applyAlignment="1" applyProtection="1">
      <alignment horizontal="left"/>
      <protection/>
    </xf>
    <xf numFmtId="0" fontId="82" fillId="34" borderId="152" xfId="0" applyFont="1" applyFill="1" applyBorder="1" applyAlignment="1" applyProtection="1">
      <alignment horizontal="right"/>
      <protection/>
    </xf>
    <xf numFmtId="207" fontId="4" fillId="35" borderId="105" xfId="0" applyNumberFormat="1" applyFont="1" applyFill="1" applyBorder="1" applyAlignment="1" applyProtection="1">
      <alignment horizontal="right" vertical="center"/>
      <protection/>
    </xf>
    <xf numFmtId="0" fontId="4" fillId="0" borderId="0" xfId="0" applyFont="1" applyBorder="1" applyAlignment="1" applyProtection="1">
      <alignment horizontal="left" vertical="center" wrapText="1"/>
      <protection/>
    </xf>
    <xf numFmtId="189" fontId="22" fillId="0" borderId="0" xfId="0" applyNumberFormat="1" applyFont="1" applyAlignment="1" applyProtection="1">
      <alignment horizontal="right"/>
      <protection/>
    </xf>
    <xf numFmtId="0" fontId="98" fillId="0" borderId="0" xfId="0" applyFont="1" applyAlignment="1" applyProtection="1">
      <alignment vertical="center"/>
      <protection/>
    </xf>
    <xf numFmtId="203" fontId="4" fillId="36" borderId="94" xfId="0" applyNumberFormat="1" applyFont="1" applyFill="1" applyBorder="1" applyAlignment="1" applyProtection="1">
      <alignment horizontal="right"/>
      <protection locked="0"/>
    </xf>
    <xf numFmtId="203" fontId="4" fillId="36" borderId="156" xfId="0" applyNumberFormat="1" applyFont="1" applyFill="1" applyBorder="1" applyAlignment="1" applyProtection="1">
      <alignment horizontal="right"/>
      <protection locked="0"/>
    </xf>
    <xf numFmtId="0" fontId="0" fillId="0" borderId="194" xfId="0" applyFont="1" applyBorder="1" applyAlignment="1" applyProtection="1">
      <alignment vertical="center"/>
      <protection/>
    </xf>
    <xf numFmtId="14" fontId="6" fillId="35" borderId="52" xfId="0" applyNumberFormat="1" applyFont="1" applyFill="1" applyBorder="1" applyAlignment="1" applyProtection="1">
      <alignment horizontal="center" vertical="center"/>
      <protection/>
    </xf>
    <xf numFmtId="1" fontId="6" fillId="35" borderId="96" xfId="42" applyNumberFormat="1" applyFont="1" applyFill="1" applyBorder="1" applyAlignment="1" applyProtection="1">
      <alignment horizontal="center" vertical="center"/>
      <protection/>
    </xf>
    <xf numFmtId="191" fontId="19" fillId="35" borderId="166" xfId="42" applyNumberFormat="1" applyFont="1" applyFill="1" applyBorder="1" applyAlignment="1" applyProtection="1">
      <alignment horizontal="center" vertical="center"/>
      <protection/>
    </xf>
    <xf numFmtId="191" fontId="19" fillId="35" borderId="185" xfId="42" applyNumberFormat="1" applyFont="1" applyFill="1" applyBorder="1" applyAlignment="1" applyProtection="1">
      <alignment horizontal="center" vertical="center"/>
      <protection/>
    </xf>
    <xf numFmtId="185" fontId="6" fillId="35" borderId="195" xfId="0" applyNumberFormat="1" applyFont="1" applyFill="1" applyBorder="1" applyAlignment="1" applyProtection="1">
      <alignment horizontal="center" vertical="center"/>
      <protection/>
    </xf>
    <xf numFmtId="169" fontId="6" fillId="36" borderId="156" xfId="0" applyNumberFormat="1" applyFont="1" applyFill="1" applyBorder="1" applyAlignment="1" applyProtection="1">
      <alignment horizontal="center" vertical="center"/>
      <protection locked="0"/>
    </xf>
    <xf numFmtId="182" fontId="0" fillId="35" borderId="196" xfId="0" applyNumberFormat="1" applyFont="1" applyFill="1" applyBorder="1" applyAlignment="1" applyProtection="1">
      <alignment horizontal="center"/>
      <protection/>
    </xf>
    <xf numFmtId="0" fontId="62" fillId="36" borderId="156" xfId="0" applyFont="1" applyFill="1" applyBorder="1" applyAlignment="1" applyProtection="1">
      <alignment horizontal="center"/>
      <protection locked="0"/>
    </xf>
    <xf numFmtId="10" fontId="90" fillId="34" borderId="52" xfId="51" applyNumberFormat="1" applyFont="1" applyFill="1" applyBorder="1" applyAlignment="1" applyProtection="1">
      <alignment horizontal="center" vertical="center" wrapText="1"/>
      <protection/>
    </xf>
    <xf numFmtId="0" fontId="0" fillId="0" borderId="0" xfId="0" applyAlignment="1">
      <alignment horizontal="right" vertical="center"/>
    </xf>
    <xf numFmtId="0" fontId="61" fillId="0" borderId="0" xfId="0" applyFont="1" applyAlignment="1" applyProtection="1">
      <alignment horizontal="right" vertical="top"/>
      <protection/>
    </xf>
    <xf numFmtId="0" fontId="99" fillId="0" borderId="0" xfId="0" applyFont="1" applyFill="1" applyAlignment="1" applyProtection="1">
      <alignment/>
      <protection/>
    </xf>
    <xf numFmtId="170" fontId="6" fillId="35" borderId="197" xfId="42" applyNumberFormat="1" applyFont="1" applyFill="1" applyBorder="1" applyAlignment="1" applyProtection="1">
      <alignment horizontal="left" indent="1"/>
      <protection/>
    </xf>
    <xf numFmtId="1" fontId="6" fillId="35" borderId="46" xfId="0" applyNumberFormat="1" applyFont="1" applyFill="1" applyBorder="1" applyAlignment="1" applyProtection="1">
      <alignment vertical="center"/>
      <protection/>
    </xf>
    <xf numFmtId="1" fontId="81" fillId="34" borderId="46" xfId="0" applyNumberFormat="1" applyFont="1" applyFill="1" applyBorder="1" applyAlignment="1" applyProtection="1">
      <alignment horizontal="right" vertical="center"/>
      <protection/>
    </xf>
    <xf numFmtId="0" fontId="81" fillId="34" borderId="46" xfId="0" applyFont="1" applyFill="1" applyBorder="1" applyAlignment="1" applyProtection="1">
      <alignment horizontal="center" vertical="center"/>
      <protection/>
    </xf>
    <xf numFmtId="0" fontId="81" fillId="34" borderId="46" xfId="0" applyFont="1" applyFill="1" applyBorder="1" applyAlignment="1" applyProtection="1">
      <alignment horizontal="right" vertical="center"/>
      <protection/>
    </xf>
    <xf numFmtId="0" fontId="81" fillId="34" borderId="198" xfId="0" applyFont="1" applyFill="1" applyBorder="1" applyAlignment="1" applyProtection="1">
      <alignment horizontal="right" vertical="center"/>
      <protection/>
    </xf>
    <xf numFmtId="0" fontId="81" fillId="34" borderId="198" xfId="0" applyFont="1" applyFill="1" applyBorder="1" applyAlignment="1" applyProtection="1">
      <alignment horizontal="center" vertical="center"/>
      <protection/>
    </xf>
    <xf numFmtId="209" fontId="6" fillId="35" borderId="148" xfId="0" applyNumberFormat="1" applyFont="1" applyFill="1" applyBorder="1" applyAlignment="1" applyProtection="1">
      <alignment horizontal="center" vertical="center"/>
      <protection/>
    </xf>
    <xf numFmtId="0" fontId="102" fillId="0" borderId="0" xfId="0" applyFont="1" applyAlignment="1" applyProtection="1">
      <alignment horizontal="right"/>
      <protection/>
    </xf>
    <xf numFmtId="210" fontId="102" fillId="0" borderId="0" xfId="0" applyNumberFormat="1" applyFont="1" applyAlignment="1" applyProtection="1">
      <alignment horizontal="center"/>
      <protection locked="0"/>
    </xf>
    <xf numFmtId="2" fontId="0" fillId="0" borderId="0" xfId="0" applyNumberFormat="1" applyFont="1" applyAlignment="1" applyProtection="1">
      <alignment horizontal="center"/>
      <protection/>
    </xf>
    <xf numFmtId="0" fontId="0" fillId="0" borderId="136" xfId="0" applyFont="1" applyBorder="1" applyAlignment="1" applyProtection="1">
      <alignment horizontal="right" vertical="center"/>
      <protection/>
    </xf>
    <xf numFmtId="1" fontId="1" fillId="33" borderId="0" xfId="0" applyNumberFormat="1" applyFont="1" applyFill="1" applyBorder="1" applyAlignment="1" applyProtection="1">
      <alignment horizontal="left"/>
      <protection/>
    </xf>
    <xf numFmtId="0" fontId="10" fillId="0" borderId="177" xfId="0" applyFont="1" applyBorder="1" applyAlignment="1" applyProtection="1">
      <alignment/>
      <protection/>
    </xf>
    <xf numFmtId="172" fontId="103" fillId="0" borderId="18" xfId="0" applyNumberFormat="1" applyFont="1" applyBorder="1" applyAlignment="1" applyProtection="1">
      <alignment/>
      <protection/>
    </xf>
    <xf numFmtId="172" fontId="103" fillId="0" borderId="199" xfId="0" applyNumberFormat="1" applyFont="1" applyBorder="1" applyAlignment="1" applyProtection="1">
      <alignment horizontal="center"/>
      <protection/>
    </xf>
    <xf numFmtId="172" fontId="103" fillId="0" borderId="200" xfId="0" applyNumberFormat="1" applyFont="1" applyBorder="1" applyAlignment="1" applyProtection="1">
      <alignment horizontal="center"/>
      <protection/>
    </xf>
    <xf numFmtId="172" fontId="103" fillId="0" borderId="201" xfId="0" applyNumberFormat="1" applyFont="1" applyBorder="1" applyAlignment="1" applyProtection="1">
      <alignment/>
      <protection/>
    </xf>
    <xf numFmtId="172" fontId="103" fillId="0" borderId="202" xfId="0" applyNumberFormat="1" applyFont="1" applyBorder="1" applyAlignment="1" applyProtection="1">
      <alignment horizontal="center"/>
      <protection/>
    </xf>
    <xf numFmtId="172" fontId="103" fillId="0" borderId="203" xfId="0" applyNumberFormat="1" applyFont="1" applyBorder="1" applyAlignment="1" applyProtection="1">
      <alignment horizontal="center"/>
      <protection/>
    </xf>
    <xf numFmtId="172" fontId="103" fillId="0" borderId="204" xfId="0" applyNumberFormat="1" applyFont="1" applyBorder="1" applyAlignment="1" applyProtection="1">
      <alignment/>
      <protection/>
    </xf>
    <xf numFmtId="172" fontId="103" fillId="0" borderId="205" xfId="0" applyNumberFormat="1" applyFont="1" applyBorder="1" applyAlignment="1" applyProtection="1">
      <alignment horizontal="center"/>
      <protection/>
    </xf>
    <xf numFmtId="211" fontId="55" fillId="0" borderId="0" xfId="0" applyNumberFormat="1" applyFont="1" applyAlignment="1" applyProtection="1">
      <alignment horizontal="center"/>
      <protection/>
    </xf>
    <xf numFmtId="0" fontId="104" fillId="0" borderId="199" xfId="0" applyFont="1" applyBorder="1" applyAlignment="1" applyProtection="1">
      <alignment horizontal="center" wrapText="1"/>
      <protection/>
    </xf>
    <xf numFmtId="10" fontId="103" fillId="0" borderId="206" xfId="51" applyNumberFormat="1" applyFont="1" applyBorder="1" applyAlignment="1" applyProtection="1">
      <alignment/>
      <protection/>
    </xf>
    <xf numFmtId="10" fontId="103" fillId="0" borderId="207" xfId="51" applyNumberFormat="1" applyFont="1" applyBorder="1" applyAlignment="1" applyProtection="1">
      <alignment/>
      <protection/>
    </xf>
    <xf numFmtId="10" fontId="103" fillId="0" borderId="208" xfId="51" applyNumberFormat="1" applyFont="1" applyBorder="1" applyAlignment="1" applyProtection="1">
      <alignment/>
      <protection/>
    </xf>
    <xf numFmtId="10" fontId="55" fillId="34" borderId="0" xfId="51" applyNumberFormat="1" applyFont="1" applyFill="1" applyAlignment="1" applyProtection="1">
      <alignment horizontal="center"/>
      <protection/>
    </xf>
    <xf numFmtId="0" fontId="105" fillId="33" borderId="133" xfId="0" applyFont="1" applyFill="1" applyBorder="1" applyAlignment="1" applyProtection="1">
      <alignment horizontal="left"/>
      <protection/>
    </xf>
    <xf numFmtId="14" fontId="103" fillId="0" borderId="0" xfId="0" applyNumberFormat="1" applyFont="1" applyAlignment="1" applyProtection="1">
      <alignment horizontal="right"/>
      <protection/>
    </xf>
    <xf numFmtId="0" fontId="103" fillId="0" borderId="0" xfId="0" applyFont="1" applyAlignment="1" applyProtection="1">
      <alignment horizontal="center"/>
      <protection/>
    </xf>
    <xf numFmtId="0" fontId="90" fillId="34" borderId="209" xfId="0" applyFont="1" applyFill="1" applyBorder="1" applyAlignment="1" applyProtection="1">
      <alignment vertical="top" wrapText="1"/>
      <protection/>
    </xf>
    <xf numFmtId="0" fontId="90" fillId="34" borderId="210" xfId="0" applyFont="1" applyFill="1" applyBorder="1" applyAlignment="1" applyProtection="1">
      <alignment vertical="top" wrapText="1"/>
      <protection/>
    </xf>
    <xf numFmtId="0" fontId="90" fillId="34" borderId="210" xfId="0" applyFont="1" applyFill="1" applyBorder="1" applyAlignment="1" applyProtection="1">
      <alignment horizontal="right" vertical="top"/>
      <protection/>
    </xf>
    <xf numFmtId="0" fontId="81" fillId="34" borderId="178" xfId="0" applyFont="1" applyFill="1" applyBorder="1" applyAlignment="1" applyProtection="1">
      <alignment horizontal="center"/>
      <protection/>
    </xf>
    <xf numFmtId="199" fontId="81" fillId="34" borderId="179" xfId="42" applyNumberFormat="1" applyFont="1" applyFill="1" applyBorder="1" applyAlignment="1" applyProtection="1">
      <alignment horizontal="center"/>
      <protection/>
    </xf>
    <xf numFmtId="0" fontId="0" fillId="0" borderId="211" xfId="0" applyBorder="1" applyAlignment="1" applyProtection="1">
      <alignment horizontal="center" vertical="center" wrapText="1"/>
      <protection/>
    </xf>
    <xf numFmtId="169" fontId="7" fillId="0" borderId="211" xfId="0" applyNumberFormat="1" applyFont="1" applyBorder="1" applyAlignment="1" applyProtection="1">
      <alignment horizontal="center" vertical="center"/>
      <protection/>
    </xf>
    <xf numFmtId="169" fontId="6" fillId="37" borderId="212" xfId="42" applyNumberFormat="1" applyFont="1" applyFill="1" applyBorder="1" applyAlignment="1" applyProtection="1">
      <alignment horizontal="left"/>
      <protection locked="0"/>
    </xf>
    <xf numFmtId="169" fontId="6" fillId="37" borderId="213" xfId="42" applyNumberFormat="1" applyFont="1" applyFill="1" applyBorder="1" applyAlignment="1" applyProtection="1">
      <alignment horizontal="left"/>
      <protection locked="0"/>
    </xf>
    <xf numFmtId="169" fontId="6" fillId="37" borderId="214" xfId="42" applyNumberFormat="1" applyFont="1" applyFill="1" applyBorder="1" applyAlignment="1" applyProtection="1">
      <alignment horizontal="left"/>
      <protection locked="0"/>
    </xf>
    <xf numFmtId="169" fontId="6" fillId="37" borderId="215" xfId="42" applyNumberFormat="1" applyFont="1" applyFill="1" applyBorder="1" applyAlignment="1" applyProtection="1">
      <alignment horizontal="left"/>
      <protection locked="0"/>
    </xf>
    <xf numFmtId="169" fontId="6" fillId="37" borderId="216" xfId="42" applyNumberFormat="1" applyFont="1" applyFill="1" applyBorder="1" applyAlignment="1" applyProtection="1">
      <alignment horizontal="left"/>
      <protection locked="0"/>
    </xf>
    <xf numFmtId="169" fontId="6" fillId="37" borderId="217" xfId="42" applyNumberFormat="1" applyFont="1" applyFill="1" applyBorder="1" applyAlignment="1" applyProtection="1">
      <alignment horizontal="left"/>
      <protection locked="0"/>
    </xf>
    <xf numFmtId="169" fontId="6" fillId="37" borderId="218" xfId="42" applyNumberFormat="1" applyFont="1" applyFill="1" applyBorder="1" applyAlignment="1" applyProtection="1">
      <alignment horizontal="left"/>
      <protection locked="0"/>
    </xf>
    <xf numFmtId="169" fontId="6" fillId="37" borderId="219" xfId="42" applyNumberFormat="1" applyFont="1" applyFill="1" applyBorder="1" applyAlignment="1" applyProtection="1">
      <alignment horizontal="left"/>
      <protection locked="0"/>
    </xf>
    <xf numFmtId="169" fontId="6" fillId="37" borderId="220" xfId="42" applyNumberFormat="1" applyFont="1" applyFill="1" applyBorder="1" applyAlignment="1" applyProtection="1">
      <alignment horizontal="left"/>
      <protection locked="0"/>
    </xf>
    <xf numFmtId="0" fontId="39" fillId="0" borderId="81" xfId="0" applyFont="1" applyBorder="1" applyAlignment="1" applyProtection="1">
      <alignment vertical="center"/>
      <protection/>
    </xf>
    <xf numFmtId="0" fontId="36" fillId="0" borderId="0" xfId="0" applyFont="1" applyAlignment="1" applyProtection="1">
      <alignment vertical="center"/>
      <protection/>
    </xf>
    <xf numFmtId="0" fontId="106" fillId="0" borderId="0" xfId="0" applyFont="1" applyAlignment="1" applyProtection="1">
      <alignment horizontal="right" vertical="center"/>
      <protection/>
    </xf>
    <xf numFmtId="177" fontId="4" fillId="36" borderId="52" xfId="0" applyNumberFormat="1" applyFont="1" applyFill="1" applyBorder="1" applyAlignment="1" applyProtection="1">
      <alignment horizontal="right" vertical="center"/>
      <protection locked="0"/>
    </xf>
    <xf numFmtId="0" fontId="75" fillId="33" borderId="191" xfId="0" applyFont="1" applyFill="1" applyBorder="1" applyAlignment="1" applyProtection="1">
      <alignment horizontal="center"/>
      <protection/>
    </xf>
    <xf numFmtId="14" fontId="75" fillId="33" borderId="221" xfId="0" applyNumberFormat="1" applyFont="1" applyFill="1" applyBorder="1" applyAlignment="1" applyProtection="1">
      <alignment horizontal="center"/>
      <protection/>
    </xf>
    <xf numFmtId="183" fontId="75" fillId="35" borderId="222" xfId="0" applyNumberFormat="1" applyFont="1" applyFill="1" applyBorder="1" applyAlignment="1" applyProtection="1">
      <alignment horizontal="center"/>
      <protection/>
    </xf>
    <xf numFmtId="183" fontId="75" fillId="35" borderId="223" xfId="0" applyNumberFormat="1" applyFont="1" applyFill="1" applyBorder="1" applyAlignment="1" applyProtection="1">
      <alignment horizontal="center"/>
      <protection/>
    </xf>
    <xf numFmtId="0" fontId="75" fillId="33" borderId="224" xfId="0" applyFont="1" applyFill="1" applyBorder="1" applyAlignment="1" applyProtection="1">
      <alignment horizontal="center"/>
      <protection/>
    </xf>
    <xf numFmtId="0" fontId="84" fillId="33" borderId="225" xfId="0" applyFont="1" applyFill="1" applyBorder="1" applyAlignment="1" applyProtection="1">
      <alignment horizontal="center"/>
      <protection/>
    </xf>
    <xf numFmtId="0" fontId="82" fillId="33" borderId="226" xfId="0" applyFont="1" applyFill="1" applyBorder="1" applyAlignment="1" applyProtection="1">
      <alignment horizontal="center"/>
      <protection/>
    </xf>
    <xf numFmtId="0" fontId="75" fillId="33" borderId="225" xfId="0" applyFont="1" applyFill="1" applyBorder="1" applyAlignment="1" applyProtection="1">
      <alignment horizontal="center"/>
      <protection/>
    </xf>
    <xf numFmtId="0" fontId="75" fillId="33" borderId="226" xfId="0" applyFont="1" applyFill="1" applyBorder="1" applyAlignment="1" applyProtection="1">
      <alignment horizontal="center"/>
      <protection/>
    </xf>
    <xf numFmtId="0" fontId="75" fillId="35" borderId="225" xfId="0" applyFont="1" applyFill="1" applyBorder="1" applyAlignment="1" applyProtection="1">
      <alignment horizontal="center"/>
      <protection/>
    </xf>
    <xf numFmtId="0" fontId="75" fillId="35" borderId="144" xfId="0" applyFont="1" applyFill="1" applyBorder="1" applyAlignment="1" applyProtection="1">
      <alignment horizontal="center"/>
      <protection/>
    </xf>
    <xf numFmtId="195" fontId="75" fillId="36" borderId="144" xfId="0" applyNumberFormat="1" applyFont="1" applyFill="1" applyBorder="1" applyAlignment="1" applyProtection="1">
      <alignment horizontal="center"/>
      <protection locked="0"/>
    </xf>
    <xf numFmtId="0" fontId="0" fillId="0" borderId="0" xfId="0" applyFill="1" applyAlignment="1" applyProtection="1">
      <alignment vertical="center"/>
      <protection/>
    </xf>
    <xf numFmtId="0" fontId="4" fillId="0" borderId="0" xfId="0" applyFont="1" applyFill="1" applyAlignment="1" applyProtection="1">
      <alignment vertical="center"/>
      <protection/>
    </xf>
    <xf numFmtId="0" fontId="27" fillId="0" borderId="0" xfId="0" applyFont="1" applyFill="1" applyAlignment="1" applyProtection="1">
      <alignment vertical="center"/>
      <protection/>
    </xf>
    <xf numFmtId="0" fontId="0" fillId="0" borderId="0" xfId="0" applyFont="1" applyFill="1" applyAlignment="1" applyProtection="1">
      <alignment vertical="center"/>
      <protection/>
    </xf>
    <xf numFmtId="0" fontId="26" fillId="0" borderId="0" xfId="0" applyFont="1" applyAlignment="1" applyProtection="1">
      <alignment/>
      <protection locked="0"/>
    </xf>
    <xf numFmtId="0" fontId="4" fillId="39" borderId="16" xfId="0" applyFont="1" applyFill="1" applyBorder="1" applyAlignment="1" applyProtection="1">
      <alignment vertical="center"/>
      <protection/>
    </xf>
    <xf numFmtId="0" fontId="4" fillId="40" borderId="16" xfId="0" applyFont="1" applyFill="1" applyBorder="1" applyAlignment="1" applyProtection="1">
      <alignment vertical="center"/>
      <protection/>
    </xf>
    <xf numFmtId="0" fontId="36" fillId="0" borderId="0" xfId="0" applyFont="1" applyFill="1" applyAlignment="1" applyProtection="1">
      <alignment vertical="center"/>
      <protection/>
    </xf>
    <xf numFmtId="0" fontId="42" fillId="0" borderId="0" xfId="0" applyFont="1" applyFill="1" applyAlignment="1" applyProtection="1">
      <alignment vertical="top"/>
      <protection/>
    </xf>
    <xf numFmtId="0" fontId="4" fillId="0" borderId="94" xfId="0" applyFont="1" applyFill="1" applyBorder="1" applyAlignment="1" applyProtection="1">
      <alignment horizontal="center" vertical="center"/>
      <protection/>
    </xf>
    <xf numFmtId="0" fontId="107" fillId="0" borderId="0" xfId="0" applyFont="1" applyFill="1" applyAlignment="1" applyProtection="1">
      <alignment horizontal="center" vertical="center"/>
      <protection/>
    </xf>
    <xf numFmtId="0" fontId="39" fillId="0" borderId="0" xfId="0" applyFont="1" applyFill="1" applyAlignment="1" applyProtection="1">
      <alignment vertical="center"/>
      <protection/>
    </xf>
    <xf numFmtId="0" fontId="36" fillId="0" borderId="0" xfId="0" applyFont="1" applyFill="1" applyAlignment="1" applyProtection="1">
      <alignment horizontal="left"/>
      <protection/>
    </xf>
    <xf numFmtId="0" fontId="4" fillId="0" borderId="0" xfId="0" applyFont="1" applyFill="1" applyAlignment="1" applyProtection="1">
      <alignment horizontal="left"/>
      <protection/>
    </xf>
    <xf numFmtId="0" fontId="39" fillId="0" borderId="0" xfId="0" applyFont="1" applyFill="1" applyAlignment="1" applyProtection="1">
      <alignment horizontal="left"/>
      <protection/>
    </xf>
    <xf numFmtId="0" fontId="37" fillId="0" borderId="0" xfId="0" applyFont="1" applyFill="1" applyAlignment="1" applyProtection="1">
      <alignment vertical="center"/>
      <protection/>
    </xf>
    <xf numFmtId="0" fontId="43" fillId="0" borderId="0" xfId="0" applyFont="1" applyFill="1" applyAlignment="1" applyProtection="1">
      <alignment vertical="center"/>
      <protection/>
    </xf>
    <xf numFmtId="0" fontId="39" fillId="0" borderId="0" xfId="0" applyFont="1" applyFill="1" applyAlignment="1" applyProtection="1">
      <alignment horizontal="left" vertical="center"/>
      <protection/>
    </xf>
    <xf numFmtId="0" fontId="9" fillId="0" borderId="0" xfId="0" applyFont="1" applyFill="1" applyAlignment="1" applyProtection="1">
      <alignment horizontal="left"/>
      <protection/>
    </xf>
    <xf numFmtId="0" fontId="0" fillId="0" borderId="0" xfId="0" applyFill="1" applyAlignment="1" applyProtection="1">
      <alignment/>
      <protection locked="0"/>
    </xf>
    <xf numFmtId="0" fontId="60" fillId="0" borderId="0" xfId="0" applyFont="1" applyFill="1" applyAlignment="1" applyProtection="1">
      <alignment vertical="center"/>
      <protection/>
    </xf>
    <xf numFmtId="0" fontId="37" fillId="0" borderId="0" xfId="0" applyFont="1" applyFill="1" applyAlignment="1" applyProtection="1">
      <alignment/>
      <protection/>
    </xf>
    <xf numFmtId="0" fontId="4" fillId="0" borderId="0" xfId="0" applyFont="1" applyFill="1" applyAlignment="1" applyProtection="1">
      <alignment/>
      <protection/>
    </xf>
    <xf numFmtId="0" fontId="43" fillId="0" borderId="0" xfId="0" applyFont="1" applyFill="1" applyAlignment="1" applyProtection="1">
      <alignment/>
      <protection/>
    </xf>
    <xf numFmtId="0" fontId="6" fillId="0" borderId="184" xfId="0" applyFont="1" applyBorder="1" applyAlignment="1" applyProtection="1">
      <alignment wrapText="1"/>
      <protection/>
    </xf>
    <xf numFmtId="0" fontId="6" fillId="0" borderId="12" xfId="0" applyFont="1" applyBorder="1" applyAlignment="1" applyProtection="1">
      <alignment vertical="center"/>
      <protection/>
    </xf>
    <xf numFmtId="0" fontId="4" fillId="36" borderId="227" xfId="0" applyFont="1" applyFill="1" applyBorder="1" applyAlignment="1" applyProtection="1">
      <alignment horizontal="center" vertical="center"/>
      <protection locked="0"/>
    </xf>
    <xf numFmtId="0" fontId="4" fillId="36" borderId="228" xfId="0" applyFont="1" applyFill="1" applyBorder="1" applyAlignment="1" applyProtection="1">
      <alignment horizontal="center" vertical="center"/>
      <protection locked="0"/>
    </xf>
    <xf numFmtId="0" fontId="4" fillId="36" borderId="229" xfId="0" applyFont="1" applyFill="1" applyBorder="1" applyAlignment="1" applyProtection="1">
      <alignment horizontal="center" vertical="center"/>
      <protection locked="0"/>
    </xf>
    <xf numFmtId="0" fontId="4" fillId="36" borderId="230" xfId="0" applyFont="1" applyFill="1" applyBorder="1" applyAlignment="1" applyProtection="1">
      <alignment horizontal="center" vertical="center"/>
      <protection locked="0"/>
    </xf>
    <xf numFmtId="0" fontId="6" fillId="0" borderId="0" xfId="0" applyFont="1" applyAlignment="1" applyProtection="1" quotePrefix="1">
      <alignment/>
      <protection locked="0"/>
    </xf>
    <xf numFmtId="0" fontId="108" fillId="0" borderId="0" xfId="0" applyFont="1" applyFill="1" applyAlignment="1" applyProtection="1">
      <alignment/>
      <protection/>
    </xf>
    <xf numFmtId="210" fontId="109" fillId="34" borderId="15" xfId="0" applyNumberFormat="1" applyFont="1" applyFill="1" applyBorder="1" applyAlignment="1" applyProtection="1">
      <alignment horizontal="right" vertical="top"/>
      <protection/>
    </xf>
    <xf numFmtId="199" fontId="109" fillId="34" borderId="183" xfId="42" applyNumberFormat="1" applyFont="1" applyFill="1" applyBorder="1" applyAlignment="1" applyProtection="1">
      <alignment horizontal="center"/>
      <protection/>
    </xf>
    <xf numFmtId="0" fontId="78" fillId="33" borderId="231" xfId="0" applyFont="1" applyFill="1" applyBorder="1" applyAlignment="1" applyProtection="1" quotePrefix="1">
      <alignment horizontal="right"/>
      <protection/>
    </xf>
    <xf numFmtId="167" fontId="6" fillId="35" borderId="197" xfId="42" applyNumberFormat="1" applyFont="1" applyFill="1" applyBorder="1" applyAlignment="1" applyProtection="1">
      <alignment horizontal="right"/>
      <protection/>
    </xf>
    <xf numFmtId="212" fontId="35" fillId="35" borderId="52" xfId="0" applyNumberFormat="1" applyFont="1" applyFill="1" applyBorder="1" applyAlignment="1">
      <alignment horizontal="center"/>
    </xf>
    <xf numFmtId="0" fontId="10" fillId="0" borderId="0" xfId="0" applyFont="1" applyBorder="1" applyAlignment="1" applyProtection="1" quotePrefix="1">
      <alignment horizontal="left"/>
      <protection/>
    </xf>
    <xf numFmtId="0" fontId="35" fillId="0" borderId="224" xfId="0" applyFont="1" applyBorder="1" applyAlignment="1" applyProtection="1">
      <alignment horizontal="center" vertical="center"/>
      <protection/>
    </xf>
    <xf numFmtId="0" fontId="26" fillId="0" borderId="232" xfId="0" applyFont="1" applyBorder="1" applyAlignment="1" applyProtection="1">
      <alignment horizontal="left" vertical="center"/>
      <protection/>
    </xf>
    <xf numFmtId="0" fontId="6" fillId="0" borderId="231" xfId="0" applyFont="1" applyBorder="1" applyAlignment="1" applyProtection="1">
      <alignment horizontal="left" vertical="center"/>
      <protection/>
    </xf>
    <xf numFmtId="0" fontId="0" fillId="0" borderId="0" xfId="0" applyAlignment="1" applyProtection="1">
      <alignment horizontal="left" indent="3"/>
      <protection locked="0"/>
    </xf>
    <xf numFmtId="0" fontId="6" fillId="0" borderId="136"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Border="1" applyAlignment="1" applyProtection="1">
      <alignment horizontal="left" vertical="center"/>
      <protection/>
    </xf>
    <xf numFmtId="0" fontId="81" fillId="34" borderId="99" xfId="0" applyFont="1" applyFill="1" applyBorder="1" applyAlignment="1" applyProtection="1">
      <alignment horizontal="center"/>
      <protection/>
    </xf>
    <xf numFmtId="196" fontId="81" fillId="34" borderId="98" xfId="0" applyNumberFormat="1" applyFont="1" applyFill="1" applyBorder="1" applyAlignment="1" applyProtection="1">
      <alignment horizontal="center"/>
      <protection/>
    </xf>
    <xf numFmtId="0" fontId="6" fillId="0" borderId="233" xfId="0" applyFont="1" applyBorder="1" applyAlignment="1" applyProtection="1">
      <alignment vertical="center"/>
      <protection/>
    </xf>
    <xf numFmtId="0" fontId="6" fillId="0" borderId="14"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167" fontId="6" fillId="35" borderId="234" xfId="42" applyFont="1" applyFill="1" applyBorder="1" applyAlignment="1" applyProtection="1">
      <alignment horizontal="center" vertical="center"/>
      <protection/>
    </xf>
    <xf numFmtId="0" fontId="6" fillId="0" borderId="235" xfId="0" applyFont="1" applyBorder="1" applyAlignment="1" applyProtection="1">
      <alignment/>
      <protection/>
    </xf>
    <xf numFmtId="0" fontId="0" fillId="0" borderId="60" xfId="0" applyBorder="1" applyAlignment="1" applyProtection="1">
      <alignment horizontal="left"/>
      <protection/>
    </xf>
    <xf numFmtId="0" fontId="0" fillId="0" borderId="134" xfId="0" applyBorder="1" applyAlignment="1" applyProtection="1">
      <alignment horizontal="left"/>
      <protection/>
    </xf>
    <xf numFmtId="0" fontId="10" fillId="0" borderId="236" xfId="0" applyFont="1" applyBorder="1" applyAlignment="1" applyProtection="1">
      <alignment horizontal="right" vertical="center"/>
      <protection/>
    </xf>
    <xf numFmtId="14" fontId="35" fillId="35" borderId="221" xfId="0" applyNumberFormat="1" applyFont="1" applyFill="1" applyBorder="1" applyAlignment="1" applyProtection="1">
      <alignment horizontal="center" vertical="center"/>
      <protection/>
    </xf>
    <xf numFmtId="171" fontId="6" fillId="35" borderId="156" xfId="0" applyNumberFormat="1" applyFont="1" applyFill="1" applyBorder="1" applyAlignment="1" applyProtection="1">
      <alignment horizontal="center" vertical="center"/>
      <protection/>
    </xf>
    <xf numFmtId="14" fontId="0" fillId="0" borderId="83" xfId="0" applyNumberFormat="1" applyBorder="1" applyAlignment="1" applyProtection="1">
      <alignment vertical="center"/>
      <protection/>
    </xf>
    <xf numFmtId="14" fontId="0" fillId="0" borderId="237" xfId="0" applyNumberFormat="1" applyBorder="1" applyAlignment="1" applyProtection="1">
      <alignment vertical="center"/>
      <protection/>
    </xf>
    <xf numFmtId="0" fontId="6" fillId="0" borderId="191" xfId="0" applyFont="1" applyFill="1" applyBorder="1" applyAlignment="1" applyProtection="1">
      <alignment horizontal="center" vertical="center"/>
      <protection/>
    </xf>
    <xf numFmtId="0" fontId="6" fillId="0" borderId="238" xfId="0" applyFont="1" applyFill="1" applyBorder="1" applyAlignment="1" applyProtection="1">
      <alignment horizontal="center" vertical="center"/>
      <protection/>
    </xf>
    <xf numFmtId="0" fontId="6" fillId="39" borderId="166" xfId="0" applyFont="1" applyFill="1" applyBorder="1" applyAlignment="1" applyProtection="1">
      <alignment vertical="center"/>
      <protection/>
    </xf>
    <xf numFmtId="0" fontId="6" fillId="40" borderId="166" xfId="0" applyFont="1" applyFill="1" applyBorder="1" applyAlignment="1" applyProtection="1">
      <alignment vertical="center"/>
      <protection/>
    </xf>
    <xf numFmtId="14" fontId="60" fillId="0" borderId="239" xfId="0" applyNumberFormat="1" applyFont="1" applyBorder="1" applyAlignment="1" applyProtection="1">
      <alignment vertical="center"/>
      <protection/>
    </xf>
    <xf numFmtId="0" fontId="6" fillId="0" borderId="133" xfId="0" applyFont="1" applyBorder="1" applyAlignment="1" applyProtection="1">
      <alignment vertical="center"/>
      <protection/>
    </xf>
    <xf numFmtId="0" fontId="6" fillId="0" borderId="240" xfId="0" applyFont="1" applyBorder="1" applyAlignment="1" applyProtection="1">
      <alignment vertical="center"/>
      <protection/>
    </xf>
    <xf numFmtId="0" fontId="2" fillId="38" borderId="241" xfId="0" applyFont="1" applyFill="1" applyBorder="1" applyAlignment="1" applyProtection="1">
      <alignment horizontal="left" vertical="center"/>
      <protection/>
    </xf>
    <xf numFmtId="0" fontId="2" fillId="38" borderId="136" xfId="0" applyFont="1" applyFill="1" applyBorder="1" applyAlignment="1" applyProtection="1">
      <alignment horizontal="left"/>
      <protection/>
    </xf>
    <xf numFmtId="0" fontId="2" fillId="38" borderId="242" xfId="0" applyFont="1" applyFill="1" applyBorder="1" applyAlignment="1" applyProtection="1">
      <alignment horizontal="left" vertical="center"/>
      <protection/>
    </xf>
    <xf numFmtId="0" fontId="19" fillId="0" borderId="243" xfId="0" applyFont="1" applyBorder="1" applyAlignment="1" applyProtection="1">
      <alignment horizontal="center" vertical="center"/>
      <protection/>
    </xf>
    <xf numFmtId="0" fontId="0" fillId="0" borderId="244" xfId="0" applyFont="1" applyBorder="1" applyAlignment="1" applyProtection="1">
      <alignment vertical="center"/>
      <protection/>
    </xf>
    <xf numFmtId="0" fontId="19" fillId="0" borderId="245" xfId="0" applyFont="1" applyBorder="1" applyAlignment="1" applyProtection="1" quotePrefix="1">
      <alignment horizontal="right" vertical="center"/>
      <protection/>
    </xf>
    <xf numFmtId="0" fontId="42" fillId="0" borderId="0" xfId="0" applyFont="1" applyAlignment="1" applyProtection="1">
      <alignment vertical="top"/>
      <protection locked="0"/>
    </xf>
    <xf numFmtId="0" fontId="27" fillId="0" borderId="0" xfId="0" applyFont="1" applyAlignment="1" applyProtection="1">
      <alignment horizontal="right" vertical="center"/>
      <protection locked="0"/>
    </xf>
    <xf numFmtId="0" fontId="39" fillId="0" borderId="0" xfId="0" applyFont="1" applyAlignment="1" applyProtection="1">
      <alignment vertical="center"/>
      <protection locked="0"/>
    </xf>
    <xf numFmtId="0" fontId="53" fillId="0" borderId="0" xfId="0" applyFont="1" applyAlignment="1" applyProtection="1">
      <alignment horizontal="right" vertical="center"/>
      <protection/>
    </xf>
    <xf numFmtId="0" fontId="0" fillId="0" borderId="0" xfId="0" applyBorder="1" applyAlignment="1">
      <alignment/>
    </xf>
    <xf numFmtId="0" fontId="6" fillId="0" borderId="0" xfId="0" applyFont="1" applyBorder="1" applyAlignment="1" applyProtection="1">
      <alignment wrapText="1"/>
      <protection/>
    </xf>
    <xf numFmtId="0" fontId="0" fillId="0" borderId="0" xfId="0" applyFont="1" applyBorder="1" applyAlignment="1">
      <alignment/>
    </xf>
    <xf numFmtId="0" fontId="6" fillId="0" borderId="0" xfId="0" applyFont="1" applyBorder="1" applyAlignment="1" applyProtection="1">
      <alignment/>
      <protection/>
    </xf>
    <xf numFmtId="0" fontId="4" fillId="0" borderId="0" xfId="0" applyFont="1" applyAlignment="1" applyProtection="1">
      <alignment/>
      <protection locked="0"/>
    </xf>
    <xf numFmtId="169" fontId="6" fillId="36" borderId="225" xfId="0" applyNumberFormat="1" applyFont="1" applyFill="1" applyBorder="1" applyAlignment="1" applyProtection="1">
      <alignment horizontal="center" vertical="center"/>
      <protection locked="0"/>
    </xf>
    <xf numFmtId="0" fontId="0" fillId="0" borderId="152" xfId="0" applyBorder="1" applyAlignment="1" applyProtection="1">
      <alignment/>
      <protection locked="0"/>
    </xf>
    <xf numFmtId="14" fontId="36" fillId="0" borderId="0" xfId="0" applyNumberFormat="1" applyFont="1" applyFill="1" applyAlignment="1" applyProtection="1">
      <alignment/>
      <protection/>
    </xf>
    <xf numFmtId="0" fontId="110" fillId="0" borderId="0" xfId="0" applyFont="1" applyFill="1" applyAlignment="1" applyProtection="1">
      <alignment horizontal="right"/>
      <protection/>
    </xf>
    <xf numFmtId="0" fontId="110" fillId="0" borderId="0" xfId="0" applyFont="1" applyFill="1" applyAlignment="1" applyProtection="1">
      <alignment horizontal="right" vertical="center"/>
      <protection/>
    </xf>
    <xf numFmtId="0" fontId="95" fillId="0" borderId="0" xfId="0" applyFont="1" applyFill="1" applyAlignment="1" applyProtection="1">
      <alignment vertical="top"/>
      <protection/>
    </xf>
    <xf numFmtId="0" fontId="95" fillId="0" borderId="0" xfId="0" applyFont="1" applyAlignment="1" applyProtection="1" quotePrefix="1">
      <alignment/>
      <protection locked="0"/>
    </xf>
    <xf numFmtId="0" fontId="27" fillId="0" borderId="19" xfId="0" applyFont="1" applyFill="1" applyBorder="1" applyAlignment="1">
      <alignment vertical="center"/>
    </xf>
    <xf numFmtId="0" fontId="27" fillId="0" borderId="0" xfId="0" applyFont="1" applyFill="1" applyAlignment="1">
      <alignment vertical="center"/>
    </xf>
    <xf numFmtId="0" fontId="95" fillId="0" borderId="0" xfId="0" applyFont="1" applyFill="1" applyAlignment="1" applyProtection="1" quotePrefix="1">
      <alignment vertical="center"/>
      <protection/>
    </xf>
    <xf numFmtId="0" fontId="12" fillId="0" borderId="0" xfId="0" applyFont="1" applyBorder="1" applyAlignment="1" applyProtection="1">
      <alignment horizontal="right"/>
      <protection/>
    </xf>
    <xf numFmtId="0" fontId="111" fillId="0" borderId="0" xfId="0" applyFont="1" applyFill="1" applyAlignment="1" applyProtection="1">
      <alignment horizontal="right"/>
      <protection/>
    </xf>
    <xf numFmtId="0" fontId="39" fillId="0" borderId="0" xfId="0" applyFont="1" applyFill="1" applyAlignment="1" applyProtection="1" quotePrefix="1">
      <alignment vertical="center"/>
      <protection/>
    </xf>
    <xf numFmtId="10" fontId="10" fillId="0" borderId="44" xfId="51" applyNumberFormat="1" applyFont="1" applyFill="1" applyBorder="1" applyAlignment="1" applyProtection="1">
      <alignment horizontal="center"/>
      <protection/>
    </xf>
    <xf numFmtId="183" fontId="75" fillId="0" borderId="246" xfId="0" applyNumberFormat="1" applyFont="1" applyBorder="1" applyAlignment="1" applyProtection="1">
      <alignment horizontal="center"/>
      <protection/>
    </xf>
    <xf numFmtId="0" fontId="0" fillId="0" borderId="184" xfId="0" applyBorder="1" applyAlignment="1" applyProtection="1">
      <alignment horizontal="left"/>
      <protection/>
    </xf>
    <xf numFmtId="0" fontId="0" fillId="0" borderId="247" xfId="0" applyBorder="1" applyAlignment="1" applyProtection="1">
      <alignment horizontal="left"/>
      <protection/>
    </xf>
    <xf numFmtId="0" fontId="0" fillId="0" borderId="184" xfId="0" applyBorder="1" applyAlignment="1" applyProtection="1">
      <alignment/>
      <protection/>
    </xf>
    <xf numFmtId="0" fontId="6" fillId="0" borderId="247" xfId="0" applyFont="1" applyBorder="1" applyAlignment="1" applyProtection="1">
      <alignment horizontal="left"/>
      <protection/>
    </xf>
    <xf numFmtId="0" fontId="6" fillId="0" borderId="247" xfId="0" applyFont="1" applyBorder="1" applyAlignment="1" applyProtection="1">
      <alignment/>
      <protection/>
    </xf>
    <xf numFmtId="0" fontId="6" fillId="0" borderId="152" xfId="0" applyFont="1" applyBorder="1" applyAlignment="1" applyProtection="1">
      <alignment/>
      <protection/>
    </xf>
    <xf numFmtId="0" fontId="12" fillId="0" borderId="152" xfId="0" applyFont="1" applyBorder="1" applyAlignment="1" applyProtection="1">
      <alignment horizontal="right"/>
      <protection/>
    </xf>
    <xf numFmtId="208" fontId="101" fillId="34" borderId="52" xfId="51" applyNumberFormat="1" applyFont="1" applyFill="1" applyBorder="1" applyAlignment="1" applyProtection="1">
      <alignment horizontal="center" vertical="center" wrapText="1"/>
      <protection/>
    </xf>
    <xf numFmtId="0" fontId="105" fillId="33" borderId="0" xfId="0" applyFont="1" applyFill="1" applyBorder="1" applyAlignment="1" applyProtection="1">
      <alignment horizontal="left"/>
      <protection/>
    </xf>
    <xf numFmtId="234" fontId="6" fillId="0" borderId="0" xfId="0" applyNumberFormat="1" applyFont="1" applyBorder="1" applyAlignment="1" applyProtection="1">
      <alignment horizontal="center" vertical="center"/>
      <protection/>
    </xf>
    <xf numFmtId="0" fontId="112" fillId="0" borderId="0" xfId="0" applyFont="1" applyAlignment="1" applyProtection="1">
      <alignment/>
      <protection/>
    </xf>
    <xf numFmtId="0" fontId="113" fillId="33" borderId="60" xfId="0" applyFont="1" applyFill="1" applyBorder="1" applyAlignment="1" applyProtection="1">
      <alignment horizontal="left"/>
      <protection/>
    </xf>
    <xf numFmtId="0" fontId="114" fillId="33" borderId="60" xfId="0" applyFont="1" applyFill="1" applyBorder="1" applyAlignment="1" applyProtection="1">
      <alignment horizontal="left"/>
      <protection/>
    </xf>
    <xf numFmtId="0" fontId="26" fillId="0" borderId="0" xfId="0" applyFont="1" applyAlignment="1" applyProtection="1">
      <alignment horizontal="right" vertical="center"/>
      <protection/>
    </xf>
    <xf numFmtId="182" fontId="0" fillId="35" borderId="70" xfId="0" applyNumberFormat="1" applyFont="1" applyFill="1" applyBorder="1" applyAlignment="1" applyProtection="1">
      <alignment horizontal="center"/>
      <protection/>
    </xf>
    <xf numFmtId="185" fontId="6" fillId="35" borderId="79" xfId="0" applyNumberFormat="1" applyFont="1" applyFill="1" applyBorder="1" applyAlignment="1" applyProtection="1">
      <alignment horizontal="center" vertical="center"/>
      <protection/>
    </xf>
    <xf numFmtId="182" fontId="6" fillId="35" borderId="96" xfId="0" applyNumberFormat="1" applyFont="1" applyFill="1" applyBorder="1" applyAlignment="1" applyProtection="1">
      <alignment horizontal="center"/>
      <protection/>
    </xf>
    <xf numFmtId="182" fontId="6" fillId="35" borderId="79" xfId="0" applyNumberFormat="1" applyFont="1" applyFill="1" applyBorder="1" applyAlignment="1" applyProtection="1">
      <alignment horizontal="center"/>
      <protection/>
    </xf>
    <xf numFmtId="220" fontId="6" fillId="35" borderId="248" xfId="0" applyNumberFormat="1" applyFont="1" applyFill="1" applyBorder="1" applyAlignment="1" applyProtection="1">
      <alignment horizontal="center"/>
      <protection locked="0"/>
    </xf>
    <xf numFmtId="220" fontId="6" fillId="35" borderId="96" xfId="0" applyNumberFormat="1" applyFont="1" applyFill="1" applyBorder="1" applyAlignment="1" applyProtection="1">
      <alignment horizontal="center"/>
      <protection locked="0"/>
    </xf>
    <xf numFmtId="220" fontId="6" fillId="35" borderId="79" xfId="0" applyNumberFormat="1" applyFont="1" applyFill="1" applyBorder="1" applyAlignment="1" applyProtection="1">
      <alignment horizontal="center"/>
      <protection locked="0"/>
    </xf>
    <xf numFmtId="169" fontId="6" fillId="35" borderId="94" xfId="0" applyNumberFormat="1" applyFont="1" applyFill="1" applyBorder="1" applyAlignment="1" applyProtection="1">
      <alignment horizontal="center" vertical="center"/>
      <protection locked="0"/>
    </xf>
    <xf numFmtId="0" fontId="6" fillId="0" borderId="0" xfId="0" applyFont="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horizontal="right"/>
      <protection/>
    </xf>
    <xf numFmtId="0" fontId="6" fillId="0" borderId="249" xfId="0" applyFont="1" applyBorder="1" applyAlignment="1" applyProtection="1">
      <alignment horizontal="right"/>
      <protection/>
    </xf>
    <xf numFmtId="0" fontId="0" fillId="0" borderId="0" xfId="0" applyAlignment="1">
      <alignment vertical="center"/>
    </xf>
    <xf numFmtId="0" fontId="60" fillId="0" borderId="0" xfId="0" applyFont="1" applyAlignment="1">
      <alignment vertical="top"/>
    </xf>
    <xf numFmtId="0" fontId="0" fillId="0" borderId="0" xfId="0" applyAlignment="1">
      <alignment vertical="top"/>
    </xf>
    <xf numFmtId="0" fontId="6" fillId="0" borderId="0" xfId="0" applyFont="1" applyAlignment="1">
      <alignment vertical="top"/>
    </xf>
    <xf numFmtId="0" fontId="0" fillId="0" borderId="0" xfId="0" applyAlignment="1">
      <alignment vertical="top" wrapText="1"/>
    </xf>
    <xf numFmtId="0" fontId="0" fillId="0" borderId="0" xfId="0" applyFont="1" applyAlignment="1">
      <alignment horizontal="center" vertical="top"/>
    </xf>
    <xf numFmtId="0" fontId="0" fillId="0" borderId="0" xfId="0" applyFont="1" applyAlignment="1">
      <alignment vertical="top"/>
    </xf>
    <xf numFmtId="0" fontId="0" fillId="0" borderId="0" xfId="0" applyAlignment="1">
      <alignment horizontal="right" vertical="top"/>
    </xf>
    <xf numFmtId="0" fontId="0" fillId="0" borderId="0" xfId="0" applyAlignment="1">
      <alignment horizontal="center" vertical="top"/>
    </xf>
    <xf numFmtId="0" fontId="110" fillId="0" borderId="0" xfId="0" applyFont="1" applyFill="1" applyAlignment="1" applyProtection="1">
      <alignment horizontal="right" vertical="center"/>
      <protection locked="0"/>
    </xf>
    <xf numFmtId="0" fontId="0" fillId="0" borderId="0" xfId="0" applyFill="1" applyAlignment="1" applyProtection="1">
      <alignment vertical="center"/>
      <protection locked="0"/>
    </xf>
    <xf numFmtId="0" fontId="110" fillId="0" borderId="0" xfId="0" applyFont="1" applyFill="1" applyAlignment="1" applyProtection="1">
      <alignment horizontal="left"/>
      <protection/>
    </xf>
    <xf numFmtId="0" fontId="0" fillId="0" borderId="247" xfId="0" applyFont="1" applyBorder="1" applyAlignment="1" applyProtection="1">
      <alignment horizontal="left"/>
      <protection/>
    </xf>
    <xf numFmtId="180" fontId="0" fillId="0" borderId="250" xfId="0" applyNumberFormat="1" applyFill="1" applyBorder="1" applyAlignment="1" applyProtection="1">
      <alignment horizontal="left" vertical="center"/>
      <protection/>
    </xf>
    <xf numFmtId="0" fontId="0" fillId="0" borderId="0" xfId="0" applyAlignment="1">
      <alignment/>
    </xf>
    <xf numFmtId="0" fontId="118" fillId="0" borderId="0" xfId="0" applyFont="1" applyAlignment="1">
      <alignment/>
    </xf>
    <xf numFmtId="0" fontId="36" fillId="0" borderId="0" xfId="0" applyFont="1" applyAlignment="1">
      <alignment vertical="top"/>
    </xf>
    <xf numFmtId="0" fontId="61" fillId="0" borderId="0" xfId="0" applyFont="1" applyAlignment="1">
      <alignment vertical="top"/>
    </xf>
    <xf numFmtId="0" fontId="60" fillId="0" borderId="0" xfId="0" applyFont="1" applyAlignment="1">
      <alignment/>
    </xf>
    <xf numFmtId="0" fontId="0" fillId="0" borderId="0" xfId="0" applyAlignment="1">
      <alignment horizontal="left" vertical="center"/>
    </xf>
    <xf numFmtId="0" fontId="0" fillId="0" borderId="0" xfId="0" applyAlignment="1">
      <alignment vertical="center" wrapText="1"/>
    </xf>
    <xf numFmtId="0" fontId="6" fillId="0" borderId="0" xfId="0" applyFont="1" applyAlignment="1">
      <alignment horizontal="left"/>
    </xf>
    <xf numFmtId="0" fontId="110" fillId="0" borderId="0" xfId="0" applyFont="1" applyAlignment="1" applyProtection="1">
      <alignment vertical="center"/>
      <protection/>
    </xf>
    <xf numFmtId="14" fontId="75" fillId="0" borderId="239" xfId="0" applyNumberFormat="1" applyFont="1" applyBorder="1" applyAlignment="1" applyProtection="1">
      <alignment horizontal="center"/>
      <protection/>
    </xf>
    <xf numFmtId="195" fontId="75" fillId="36" borderId="251" xfId="0" applyNumberFormat="1" applyFont="1" applyFill="1" applyBorder="1" applyAlignment="1" applyProtection="1">
      <alignment horizontal="center"/>
      <protection locked="0"/>
    </xf>
    <xf numFmtId="195" fontId="75" fillId="36" borderId="252" xfId="0" applyNumberFormat="1" applyFont="1" applyFill="1" applyBorder="1" applyAlignment="1" applyProtection="1">
      <alignment horizontal="center"/>
      <protection locked="0"/>
    </xf>
    <xf numFmtId="183" fontId="42" fillId="0" borderId="253" xfId="0" applyNumberFormat="1" applyFont="1" applyBorder="1" applyAlignment="1" applyProtection="1">
      <alignment/>
      <protection/>
    </xf>
    <xf numFmtId="183" fontId="10" fillId="35" borderId="19" xfId="0" applyNumberFormat="1" applyFont="1" applyFill="1" applyBorder="1" applyAlignment="1" applyProtection="1">
      <alignment/>
      <protection/>
    </xf>
    <xf numFmtId="183" fontId="10" fillId="35" borderId="254" xfId="0" applyNumberFormat="1" applyFont="1" applyFill="1" applyBorder="1" applyAlignment="1" applyProtection="1">
      <alignment/>
      <protection locked="0"/>
    </xf>
    <xf numFmtId="0" fontId="10" fillId="0" borderId="255" xfId="0" applyFont="1" applyBorder="1" applyAlignment="1" applyProtection="1">
      <alignment horizontal="right"/>
      <protection/>
    </xf>
    <xf numFmtId="183" fontId="10" fillId="35" borderId="256" xfId="0" applyNumberFormat="1" applyFont="1" applyFill="1" applyBorder="1" applyAlignment="1" applyProtection="1">
      <alignment/>
      <protection locked="0"/>
    </xf>
    <xf numFmtId="183" fontId="10" fillId="35" borderId="254" xfId="0" applyNumberFormat="1" applyFont="1" applyFill="1" applyBorder="1" applyAlignment="1" applyProtection="1">
      <alignment/>
      <protection/>
    </xf>
    <xf numFmtId="14" fontId="10" fillId="0" borderId="57" xfId="0" applyNumberFormat="1" applyFont="1" applyBorder="1" applyAlignment="1" applyProtection="1">
      <alignment/>
      <protection/>
    </xf>
    <xf numFmtId="183" fontId="10" fillId="35" borderId="257" xfId="0" applyNumberFormat="1" applyFont="1" applyFill="1" applyBorder="1" applyAlignment="1" applyProtection="1">
      <alignment/>
      <protection/>
    </xf>
    <xf numFmtId="173" fontId="10" fillId="0" borderId="101" xfId="0" applyNumberFormat="1" applyFont="1" applyBorder="1" applyAlignment="1" applyProtection="1">
      <alignment horizontal="center"/>
      <protection/>
    </xf>
    <xf numFmtId="173" fontId="10" fillId="0" borderId="139" xfId="0" applyNumberFormat="1" applyFont="1" applyBorder="1" applyAlignment="1" applyProtection="1">
      <alignment horizontal="center"/>
      <protection/>
    </xf>
    <xf numFmtId="14" fontId="35" fillId="36" borderId="258" xfId="0" applyNumberFormat="1" applyFont="1" applyFill="1" applyBorder="1" applyAlignment="1" applyProtection="1">
      <alignment horizontal="center"/>
      <protection locked="0"/>
    </xf>
    <xf numFmtId="3" fontId="62" fillId="36" borderId="156" xfId="0" applyNumberFormat="1" applyFont="1" applyFill="1" applyBorder="1" applyAlignment="1" applyProtection="1">
      <alignment horizontal="center"/>
      <protection locked="0"/>
    </xf>
    <xf numFmtId="0" fontId="110" fillId="0" borderId="0" xfId="0" applyFont="1" applyAlignment="1" applyProtection="1" quotePrefix="1">
      <alignment horizontal="right" vertical="center"/>
      <protection/>
    </xf>
    <xf numFmtId="229" fontId="6" fillId="35" borderId="259" xfId="0" applyNumberFormat="1" applyFont="1" applyFill="1" applyBorder="1" applyAlignment="1" applyProtection="1">
      <alignment horizontal="right"/>
      <protection/>
    </xf>
    <xf numFmtId="222" fontId="6" fillId="35" borderId="260" xfId="0" applyNumberFormat="1" applyFont="1" applyFill="1" applyBorder="1" applyAlignment="1" applyProtection="1">
      <alignment horizontal="right" vertical="center"/>
      <protection/>
    </xf>
    <xf numFmtId="223" fontId="6" fillId="35" borderId="261" xfId="0" applyNumberFormat="1" applyFont="1" applyFill="1" applyBorder="1" applyAlignment="1" applyProtection="1">
      <alignment horizontal="right" vertical="center"/>
      <protection/>
    </xf>
    <xf numFmtId="218" fontId="0" fillId="35" borderId="198" xfId="0" applyNumberFormat="1" applyFill="1" applyBorder="1" applyAlignment="1" applyProtection="1">
      <alignment horizontal="center"/>
      <protection/>
    </xf>
    <xf numFmtId="214" fontId="6" fillId="35" borderId="260" xfId="0" applyNumberFormat="1" applyFont="1" applyFill="1" applyBorder="1" applyAlignment="1" applyProtection="1">
      <alignment horizontal="center" vertical="center"/>
      <protection/>
    </xf>
    <xf numFmtId="214" fontId="6" fillId="35" borderId="262" xfId="0" applyNumberFormat="1" applyFont="1" applyFill="1" applyBorder="1" applyAlignment="1" applyProtection="1">
      <alignment horizontal="center" vertical="center"/>
      <protection/>
    </xf>
    <xf numFmtId="217" fontId="6" fillId="35" borderId="234" xfId="0" applyNumberFormat="1" applyFont="1" applyFill="1" applyBorder="1" applyAlignment="1" applyProtection="1">
      <alignment horizontal="right"/>
      <protection/>
    </xf>
    <xf numFmtId="217" fontId="6" fillId="35" borderId="197" xfId="0" applyNumberFormat="1" applyFont="1" applyFill="1" applyBorder="1" applyAlignment="1" applyProtection="1">
      <alignment horizontal="right"/>
      <protection/>
    </xf>
    <xf numFmtId="219" fontId="6" fillId="35" borderId="234" xfId="0" applyNumberFormat="1" applyFont="1" applyFill="1" applyBorder="1" applyAlignment="1" applyProtection="1">
      <alignment horizontal="right"/>
      <protection/>
    </xf>
    <xf numFmtId="230" fontId="6" fillId="35" borderId="197" xfId="0" applyNumberFormat="1" applyFont="1" applyFill="1" applyBorder="1" applyAlignment="1" applyProtection="1">
      <alignment horizontal="right"/>
      <protection/>
    </xf>
    <xf numFmtId="230" fontId="4" fillId="35" borderId="156" xfId="0" applyNumberFormat="1" applyFont="1" applyFill="1" applyBorder="1" applyAlignment="1" applyProtection="1">
      <alignment horizontal="right"/>
      <protection/>
    </xf>
    <xf numFmtId="220" fontId="6" fillId="35" borderId="197" xfId="0" applyNumberFormat="1" applyFont="1" applyFill="1" applyBorder="1" applyAlignment="1" applyProtection="1">
      <alignment horizontal="right"/>
      <protection/>
    </xf>
    <xf numFmtId="220" fontId="6" fillId="35" borderId="234" xfId="0" applyNumberFormat="1" applyFont="1" applyFill="1" applyBorder="1" applyAlignment="1" applyProtection="1">
      <alignment horizontal="right"/>
      <protection/>
    </xf>
    <xf numFmtId="229" fontId="6" fillId="35" borderId="96" xfId="0" applyNumberFormat="1" applyFont="1" applyFill="1" applyBorder="1" applyAlignment="1" applyProtection="1">
      <alignment horizontal="left"/>
      <protection/>
    </xf>
    <xf numFmtId="229" fontId="6" fillId="35" borderId="79" xfId="0" applyNumberFormat="1" applyFont="1" applyFill="1" applyBorder="1" applyAlignment="1" applyProtection="1">
      <alignment horizontal="right"/>
      <protection/>
    </xf>
    <xf numFmtId="214" fontId="6" fillId="35" borderId="99" xfId="0" applyNumberFormat="1" applyFont="1" applyFill="1" applyBorder="1" applyAlignment="1" applyProtection="1">
      <alignment horizontal="center" vertical="center"/>
      <protection/>
    </xf>
    <xf numFmtId="214" fontId="6" fillId="35" borderId="103" xfId="0" applyNumberFormat="1" applyFont="1" applyFill="1" applyBorder="1" applyAlignment="1" applyProtection="1">
      <alignment horizontal="center" vertical="center"/>
      <protection/>
    </xf>
    <xf numFmtId="231" fontId="0" fillId="35" borderId="46" xfId="0" applyNumberFormat="1" applyFill="1" applyBorder="1" applyAlignment="1" applyProtection="1">
      <alignment horizontal="center"/>
      <protection/>
    </xf>
    <xf numFmtId="231" fontId="0" fillId="35" borderId="259" xfId="0" applyNumberFormat="1" applyFill="1" applyBorder="1" applyAlignment="1" applyProtection="1">
      <alignment horizontal="center"/>
      <protection/>
    </xf>
    <xf numFmtId="0" fontId="0" fillId="0" borderId="0" xfId="0" applyAlignment="1" applyProtection="1">
      <alignment vertical="top"/>
      <protection/>
    </xf>
    <xf numFmtId="233" fontId="0" fillId="35" borderId="52" xfId="0" applyNumberFormat="1" applyFont="1" applyFill="1" applyBorder="1" applyAlignment="1" applyProtection="1">
      <alignment horizontal="right"/>
      <protection/>
    </xf>
    <xf numFmtId="221" fontId="0" fillId="35" borderId="79" xfId="0" applyNumberFormat="1" applyFont="1" applyFill="1" applyBorder="1" applyAlignment="1" applyProtection="1">
      <alignment horizontal="right"/>
      <protection/>
    </xf>
    <xf numFmtId="220" fontId="6" fillId="35" borderId="156" xfId="0" applyNumberFormat="1" applyFont="1" applyFill="1" applyBorder="1" applyAlignment="1" applyProtection="1">
      <alignment horizontal="center" vertical="center"/>
      <protection/>
    </xf>
    <xf numFmtId="206" fontId="4" fillId="35" borderId="263" xfId="0" applyNumberFormat="1" applyFont="1" applyFill="1" applyBorder="1" applyAlignment="1" applyProtection="1">
      <alignment horizontal="center" vertical="center" wrapText="1"/>
      <protection/>
    </xf>
    <xf numFmtId="224" fontId="6" fillId="35" borderId="140" xfId="0" applyNumberFormat="1" applyFont="1" applyFill="1" applyBorder="1" applyAlignment="1" applyProtection="1">
      <alignment horizontal="right"/>
      <protection/>
    </xf>
    <xf numFmtId="225" fontId="6" fillId="34" borderId="52" xfId="0" applyNumberFormat="1" applyFont="1" applyFill="1" applyBorder="1" applyAlignment="1" applyProtection="1">
      <alignment horizontal="center"/>
      <protection/>
    </xf>
    <xf numFmtId="220" fontId="6" fillId="35" borderId="264" xfId="0" applyNumberFormat="1" applyFont="1" applyFill="1" applyBorder="1" applyAlignment="1" applyProtection="1">
      <alignment horizontal="right"/>
      <protection/>
    </xf>
    <xf numFmtId="220" fontId="6" fillId="35" borderId="11" xfId="0" applyNumberFormat="1" applyFont="1" applyFill="1" applyBorder="1" applyAlignment="1" applyProtection="1">
      <alignment horizontal="right"/>
      <protection/>
    </xf>
    <xf numFmtId="226" fontId="6" fillId="34" borderId="52" xfId="0" applyNumberFormat="1" applyFont="1" applyFill="1" applyBorder="1" applyAlignment="1" applyProtection="1">
      <alignment horizontal="center"/>
      <protection/>
    </xf>
    <xf numFmtId="220" fontId="6" fillId="35" borderId="151" xfId="0" applyNumberFormat="1" applyFont="1" applyFill="1" applyBorder="1" applyAlignment="1" applyProtection="1">
      <alignment horizontal="right"/>
      <protection/>
    </xf>
    <xf numFmtId="220" fontId="6" fillId="35" borderId="140" xfId="0" applyNumberFormat="1" applyFont="1" applyFill="1" applyBorder="1" applyAlignment="1" applyProtection="1">
      <alignment horizontal="right"/>
      <protection/>
    </xf>
    <xf numFmtId="220" fontId="6" fillId="35" borderId="265" xfId="0" applyNumberFormat="1" applyFont="1" applyFill="1" applyBorder="1" applyAlignment="1" applyProtection="1">
      <alignment horizontal="right"/>
      <protection/>
    </xf>
    <xf numFmtId="227" fontId="6" fillId="35" borderId="140" xfId="0" applyNumberFormat="1" applyFont="1" applyFill="1" applyBorder="1" applyAlignment="1" applyProtection="1">
      <alignment horizontal="right"/>
      <protection/>
    </xf>
    <xf numFmtId="220" fontId="6" fillId="35" borderId="166" xfId="0" applyNumberFormat="1" applyFont="1" applyFill="1" applyBorder="1" applyAlignment="1" applyProtection="1">
      <alignment horizontal="right"/>
      <protection/>
    </xf>
    <xf numFmtId="220" fontId="6" fillId="35" borderId="140" xfId="0" applyNumberFormat="1" applyFont="1" applyFill="1" applyBorder="1" applyAlignment="1" applyProtection="1">
      <alignment horizontal="right" vertical="center"/>
      <protection/>
    </xf>
    <xf numFmtId="226" fontId="6" fillId="34" borderId="52" xfId="0" applyNumberFormat="1" applyFont="1" applyFill="1" applyBorder="1" applyAlignment="1" applyProtection="1">
      <alignment horizontal="center" vertical="center"/>
      <protection/>
    </xf>
    <xf numFmtId="220" fontId="6" fillId="35" borderId="264" xfId="0" applyNumberFormat="1"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220" fontId="6" fillId="35" borderId="266" xfId="0" applyNumberFormat="1" applyFont="1" applyFill="1" applyBorder="1" applyAlignment="1" applyProtection="1">
      <alignment horizontal="right"/>
      <protection/>
    </xf>
    <xf numFmtId="220" fontId="6" fillId="35" borderId="267" xfId="0" applyNumberFormat="1" applyFont="1" applyFill="1" applyBorder="1" applyAlignment="1" applyProtection="1">
      <alignment horizontal="right"/>
      <protection/>
    </xf>
    <xf numFmtId="0" fontId="39" fillId="0" borderId="0" xfId="0" applyFont="1" applyBorder="1" applyAlignment="1" applyProtection="1">
      <alignment vertical="center"/>
      <protection/>
    </xf>
    <xf numFmtId="229" fontId="4" fillId="35" borderId="156" xfId="0" applyNumberFormat="1" applyFont="1" applyFill="1" applyBorder="1" applyAlignment="1" applyProtection="1">
      <alignment horizontal="right"/>
      <protection/>
    </xf>
    <xf numFmtId="215" fontId="4" fillId="35" borderId="266" xfId="0" applyNumberFormat="1" applyFont="1" applyFill="1" applyBorder="1" applyAlignment="1" applyProtection="1">
      <alignment horizontal="center"/>
      <protection/>
    </xf>
    <xf numFmtId="215" fontId="0" fillId="35" borderId="234" xfId="0" applyNumberFormat="1" applyFill="1" applyBorder="1" applyAlignment="1" applyProtection="1">
      <alignment horizontal="center"/>
      <protection/>
    </xf>
    <xf numFmtId="216" fontId="0" fillId="35" borderId="234" xfId="0" applyNumberFormat="1" applyFill="1" applyBorder="1" applyAlignment="1" applyProtection="1">
      <alignment horizontal="center"/>
      <protection/>
    </xf>
    <xf numFmtId="0" fontId="75" fillId="0" borderId="0" xfId="0" applyFont="1" applyAlignment="1" applyProtection="1">
      <alignment/>
      <protection/>
    </xf>
    <xf numFmtId="0" fontId="78" fillId="33" borderId="268" xfId="0" applyFont="1" applyFill="1" applyBorder="1" applyAlignment="1" applyProtection="1">
      <alignment horizontal="right"/>
      <protection/>
    </xf>
    <xf numFmtId="17" fontId="42" fillId="0" borderId="0" xfId="0" applyNumberFormat="1" applyFont="1" applyAlignment="1" applyProtection="1">
      <alignment/>
      <protection/>
    </xf>
    <xf numFmtId="17" fontId="42" fillId="0" borderId="83" xfId="0" applyNumberFormat="1" applyFont="1" applyBorder="1" applyAlignment="1" applyProtection="1">
      <alignment/>
      <protection/>
    </xf>
    <xf numFmtId="0" fontId="75" fillId="33" borderId="156" xfId="0" applyFont="1" applyFill="1" applyBorder="1" applyAlignment="1" applyProtection="1">
      <alignment horizontal="center"/>
      <protection locked="0"/>
    </xf>
    <xf numFmtId="172" fontId="103" fillId="0" borderId="269" xfId="0" applyNumberFormat="1" applyFont="1" applyBorder="1" applyAlignment="1" applyProtection="1">
      <alignment horizontal="center" wrapText="1"/>
      <protection locked="0"/>
    </xf>
    <xf numFmtId="172" fontId="103" fillId="0" borderId="200" xfId="0" applyNumberFormat="1" applyFont="1" applyBorder="1" applyAlignment="1" applyProtection="1">
      <alignment horizontal="center"/>
      <protection locked="0"/>
    </xf>
    <xf numFmtId="14" fontId="75" fillId="0" borderId="143" xfId="0" applyNumberFormat="1" applyFont="1" applyBorder="1" applyAlignment="1" applyProtection="1">
      <alignment horizontal="center"/>
      <protection locked="0"/>
    </xf>
    <xf numFmtId="172" fontId="103" fillId="0" borderId="270" xfId="0" applyNumberFormat="1" applyFont="1" applyBorder="1" applyAlignment="1" applyProtection="1">
      <alignment/>
      <protection locked="0"/>
    </xf>
    <xf numFmtId="14" fontId="75" fillId="0" borderId="144" xfId="0" applyNumberFormat="1" applyFont="1" applyBorder="1" applyAlignment="1" applyProtection="1">
      <alignment horizontal="center"/>
      <protection locked="0"/>
    </xf>
    <xf numFmtId="172" fontId="103" fillId="0" borderId="271" xfId="0" applyNumberFormat="1" applyFont="1" applyBorder="1" applyAlignment="1" applyProtection="1">
      <alignment/>
      <protection locked="0"/>
    </xf>
    <xf numFmtId="14" fontId="75" fillId="0" borderId="145" xfId="0" applyNumberFormat="1" applyFont="1" applyBorder="1" applyAlignment="1" applyProtection="1">
      <alignment horizontal="center"/>
      <protection locked="0"/>
    </xf>
    <xf numFmtId="172" fontId="103" fillId="0" borderId="272" xfId="0" applyNumberFormat="1" applyFont="1" applyBorder="1" applyAlignment="1" applyProtection="1">
      <alignment/>
      <protection locked="0"/>
    </xf>
    <xf numFmtId="172" fontId="103" fillId="0" borderId="273" xfId="0" applyNumberFormat="1" applyFont="1" applyBorder="1" applyAlignment="1" applyProtection="1">
      <alignment/>
      <protection locked="0"/>
    </xf>
    <xf numFmtId="0" fontId="110" fillId="0" borderId="0" xfId="0" applyFont="1" applyFill="1" applyAlignment="1" applyProtection="1">
      <alignment horizontal="left" vertical="center" wrapText="1"/>
      <protection/>
    </xf>
    <xf numFmtId="0" fontId="0" fillId="0" borderId="60" xfId="0" applyBorder="1" applyAlignment="1" applyProtection="1">
      <alignment/>
      <protection locked="0"/>
    </xf>
    <xf numFmtId="0" fontId="22" fillId="0" borderId="0" xfId="0" applyFont="1" applyFill="1" applyAlignment="1" applyProtection="1">
      <alignment vertical="center"/>
      <protection/>
    </xf>
    <xf numFmtId="0" fontId="100" fillId="0" borderId="0" xfId="0" applyFont="1" applyFill="1" applyAlignment="1" applyProtection="1">
      <alignment vertical="center"/>
      <protection/>
    </xf>
    <xf numFmtId="0" fontId="96" fillId="0" borderId="0" xfId="0" applyFont="1" applyAlignment="1" applyProtection="1">
      <alignment vertical="center"/>
      <protection locked="0"/>
    </xf>
    <xf numFmtId="0" fontId="51" fillId="0" borderId="0" xfId="0" applyFont="1" applyAlignment="1" applyProtection="1">
      <alignment/>
      <protection locked="0"/>
    </xf>
    <xf numFmtId="0" fontId="123" fillId="0" borderId="0" xfId="0" applyFont="1" applyAlignment="1" applyProtection="1">
      <alignment vertical="center"/>
      <protection locked="0"/>
    </xf>
    <xf numFmtId="0" fontId="51" fillId="0" borderId="0" xfId="0" applyFont="1" applyAlignment="1">
      <alignment vertical="center"/>
    </xf>
    <xf numFmtId="0" fontId="110" fillId="0" borderId="0" xfId="0" applyFont="1" applyFill="1" applyAlignment="1" applyProtection="1">
      <alignment horizontal="left" vertical="center"/>
      <protection/>
    </xf>
    <xf numFmtId="0" fontId="53" fillId="0" borderId="0" xfId="0" applyFont="1" applyAlignment="1" applyProtection="1">
      <alignment vertical="top"/>
      <protection locked="0"/>
    </xf>
    <xf numFmtId="0" fontId="6" fillId="0" borderId="226" xfId="0" applyFont="1" applyBorder="1" applyAlignment="1" applyProtection="1">
      <alignment vertical="center"/>
      <protection/>
    </xf>
    <xf numFmtId="0" fontId="6" fillId="0" borderId="274" xfId="0" applyFont="1" applyBorder="1" applyAlignment="1" applyProtection="1">
      <alignment vertical="center"/>
      <protection/>
    </xf>
    <xf numFmtId="0" fontId="55" fillId="0" borderId="0" xfId="0" applyFont="1" applyBorder="1" applyAlignment="1" applyProtection="1">
      <alignment vertical="center"/>
      <protection locked="0"/>
    </xf>
    <xf numFmtId="0" fontId="27" fillId="0" borderId="0" xfId="0" applyFont="1" applyFill="1" applyAlignment="1" applyProtection="1">
      <alignment vertical="top"/>
      <protection/>
    </xf>
    <xf numFmtId="0" fontId="55" fillId="0" borderId="0" xfId="0" applyFont="1" applyAlignment="1" applyProtection="1">
      <alignment/>
      <protection locked="0"/>
    </xf>
    <xf numFmtId="0" fontId="55" fillId="0" borderId="0" xfId="0" applyFont="1" applyAlignment="1" applyProtection="1">
      <alignment vertical="center"/>
      <protection locked="0"/>
    </xf>
    <xf numFmtId="232" fontId="102" fillId="34" borderId="46" xfId="0" applyNumberFormat="1" applyFont="1" applyFill="1" applyBorder="1" applyAlignment="1" applyProtection="1">
      <alignment horizontal="center"/>
      <protection/>
    </xf>
    <xf numFmtId="167" fontId="6" fillId="35" borderId="197" xfId="42" applyFont="1" applyFill="1" applyBorder="1" applyAlignment="1" applyProtection="1">
      <alignment horizontal="center" vertical="center"/>
      <protection/>
    </xf>
    <xf numFmtId="0" fontId="0" fillId="33" borderId="210" xfId="0" applyFill="1" applyBorder="1" applyAlignment="1" applyProtection="1">
      <alignment horizontal="right"/>
      <protection/>
    </xf>
    <xf numFmtId="186" fontId="0" fillId="35" borderId="46" xfId="0" applyNumberFormat="1" applyFill="1" applyBorder="1" applyAlignment="1" applyProtection="1">
      <alignment horizontal="right" wrapText="1"/>
      <protection/>
    </xf>
    <xf numFmtId="169" fontId="4" fillId="35" borderId="52" xfId="0" applyNumberFormat="1" applyFont="1" applyFill="1" applyBorder="1" applyAlignment="1" applyProtection="1">
      <alignment horizontal="right" vertical="center" wrapText="1"/>
      <protection/>
    </xf>
    <xf numFmtId="220" fontId="6" fillId="35" borderId="46" xfId="0" applyNumberFormat="1" applyFont="1" applyFill="1" applyBorder="1" applyAlignment="1" applyProtection="1">
      <alignment horizontal="right"/>
      <protection/>
    </xf>
    <xf numFmtId="0" fontId="125" fillId="0" borderId="0" xfId="0" applyFont="1" applyBorder="1" applyAlignment="1" applyProtection="1">
      <alignment vertical="center"/>
      <protection locked="0"/>
    </xf>
    <xf numFmtId="0" fontId="126" fillId="0" borderId="0" xfId="0" applyFont="1" applyAlignment="1" applyProtection="1">
      <alignment vertical="top"/>
      <protection locked="0"/>
    </xf>
    <xf numFmtId="167" fontId="0" fillId="0" borderId="0" xfId="0" applyNumberFormat="1" applyAlignment="1" applyProtection="1">
      <alignment/>
      <protection locked="0"/>
    </xf>
    <xf numFmtId="0" fontId="0" fillId="0" borderId="0" xfId="0" applyFont="1" applyBorder="1" applyAlignment="1" applyProtection="1">
      <alignment horizontal="center" wrapText="1"/>
      <protection/>
    </xf>
    <xf numFmtId="0" fontId="126" fillId="0" borderId="0" xfId="0" applyFont="1" applyAlignment="1" applyProtection="1">
      <alignment vertical="top" wrapText="1"/>
      <protection locked="0"/>
    </xf>
    <xf numFmtId="0" fontId="125" fillId="0" borderId="0" xfId="0" applyFont="1" applyAlignment="1" applyProtection="1">
      <alignment vertical="top"/>
      <protection locked="0"/>
    </xf>
    <xf numFmtId="0" fontId="36" fillId="0" borderId="0" xfId="0" applyFont="1" applyAlignment="1">
      <alignment/>
    </xf>
    <xf numFmtId="0" fontId="127" fillId="0" borderId="0" xfId="0" applyFont="1" applyAlignment="1" applyProtection="1">
      <alignment vertical="top"/>
      <protection locked="0"/>
    </xf>
    <xf numFmtId="0" fontId="125" fillId="0" borderId="0" xfId="0" applyFont="1" applyAlignment="1" applyProtection="1">
      <alignment/>
      <protection locked="0"/>
    </xf>
    <xf numFmtId="0" fontId="99" fillId="0" borderId="137" xfId="0" applyFont="1" applyBorder="1" applyAlignment="1" applyProtection="1">
      <alignment/>
      <protection/>
    </xf>
    <xf numFmtId="188" fontId="40" fillId="0" borderId="221" xfId="0" applyNumberFormat="1" applyFont="1" applyBorder="1" applyAlignment="1" applyProtection="1">
      <alignment horizontal="left" vertical="top"/>
      <protection/>
    </xf>
    <xf numFmtId="189" fontId="0" fillId="0" borderId="275" xfId="0" applyNumberFormat="1" applyBorder="1" applyAlignment="1" applyProtection="1">
      <alignment/>
      <protection/>
    </xf>
    <xf numFmtId="189" fontId="0" fillId="0" borderId="276" xfId="0" applyNumberFormat="1" applyBorder="1" applyAlignment="1" applyProtection="1">
      <alignment/>
      <protection/>
    </xf>
    <xf numFmtId="189" fontId="35" fillId="0" borderId="152" xfId="0" applyNumberFormat="1" applyFont="1" applyBorder="1" applyAlignment="1" applyProtection="1">
      <alignment horizontal="left"/>
      <protection/>
    </xf>
    <xf numFmtId="0" fontId="35" fillId="0" borderId="275" xfId="0" applyFont="1" applyBorder="1" applyAlignment="1" applyProtection="1">
      <alignment vertical="top"/>
      <protection/>
    </xf>
    <xf numFmtId="167" fontId="36" fillId="35" borderId="52" xfId="0" applyNumberFormat="1" applyFont="1" applyFill="1" applyBorder="1" applyAlignment="1" applyProtection="1">
      <alignment horizontal="center" vertical="center"/>
      <protection locked="0"/>
    </xf>
    <xf numFmtId="0" fontId="4" fillId="0" borderId="0" xfId="0" applyFont="1" applyFill="1" applyAlignment="1" applyProtection="1">
      <alignment vertical="top"/>
      <protection/>
    </xf>
    <xf numFmtId="0" fontId="0" fillId="34" borderId="137" xfId="0" applyFill="1" applyBorder="1" applyAlignment="1" applyProtection="1">
      <alignment/>
      <protection locked="0"/>
    </xf>
    <xf numFmtId="0" fontId="0" fillId="34" borderId="152" xfId="0" applyFill="1" applyBorder="1" applyAlignment="1" applyProtection="1">
      <alignment/>
      <protection locked="0"/>
    </xf>
    <xf numFmtId="0" fontId="35" fillId="34" borderId="152" xfId="0" applyFont="1" applyFill="1" applyBorder="1" applyAlignment="1" applyProtection="1">
      <alignment horizontal="center" vertical="center"/>
      <protection/>
    </xf>
    <xf numFmtId="0" fontId="0" fillId="34" borderId="191" xfId="0" applyFill="1" applyBorder="1" applyAlignment="1" applyProtection="1">
      <alignment/>
      <protection locked="0"/>
    </xf>
    <xf numFmtId="0" fontId="0" fillId="34" borderId="221" xfId="0" applyFill="1" applyBorder="1" applyAlignment="1" applyProtection="1">
      <alignment vertical="top"/>
      <protection locked="0"/>
    </xf>
    <xf numFmtId="0" fontId="0" fillId="34" borderId="275" xfId="0" applyFill="1" applyBorder="1" applyAlignment="1" applyProtection="1">
      <alignment vertical="top"/>
      <protection locked="0"/>
    </xf>
    <xf numFmtId="0" fontId="4" fillId="34" borderId="275" xfId="0" applyFont="1" applyFill="1" applyBorder="1" applyAlignment="1" applyProtection="1">
      <alignment horizontal="center" vertical="top"/>
      <protection/>
    </xf>
    <xf numFmtId="0" fontId="0" fillId="34" borderId="276" xfId="0" applyFill="1" applyBorder="1" applyAlignment="1" applyProtection="1">
      <alignment vertical="top"/>
      <protection locked="0"/>
    </xf>
    <xf numFmtId="188" fontId="27" fillId="0" borderId="277" xfId="0" applyNumberFormat="1" applyFont="1" applyBorder="1" applyAlignment="1" applyProtection="1">
      <alignment horizontal="center"/>
      <protection/>
    </xf>
    <xf numFmtId="189" fontId="27" fillId="0" borderId="278" xfId="0" applyNumberFormat="1" applyFont="1" applyBorder="1" applyAlignment="1" applyProtection="1">
      <alignment horizontal="center"/>
      <protection/>
    </xf>
    <xf numFmtId="0" fontId="62" fillId="0" borderId="279" xfId="0" applyFont="1" applyBorder="1" applyAlignment="1" applyProtection="1">
      <alignment horizontal="center"/>
      <protection/>
    </xf>
    <xf numFmtId="189" fontId="27" fillId="0" borderId="280" xfId="0" applyNumberFormat="1" applyFont="1" applyBorder="1" applyAlignment="1" applyProtection="1">
      <alignment horizontal="center"/>
      <protection/>
    </xf>
    <xf numFmtId="0" fontId="126" fillId="0" borderId="0" xfId="0" applyFont="1" applyAlignment="1" applyProtection="1">
      <alignment/>
      <protection locked="0"/>
    </xf>
    <xf numFmtId="0" fontId="126" fillId="0" borderId="0" xfId="0" applyFont="1" applyAlignment="1" applyProtection="1">
      <alignment vertical="center"/>
      <protection locked="0"/>
    </xf>
    <xf numFmtId="0" fontId="129" fillId="35" borderId="144" xfId="0" applyFont="1" applyFill="1" applyBorder="1" applyAlignment="1" applyProtection="1">
      <alignment horizontal="center"/>
      <protection/>
    </xf>
    <xf numFmtId="0" fontId="19" fillId="0" borderId="0" xfId="0" applyFont="1" applyAlignment="1" applyProtection="1">
      <alignment/>
      <protection/>
    </xf>
    <xf numFmtId="0" fontId="130" fillId="0" borderId="0" xfId="0" applyFont="1" applyAlignment="1">
      <alignment/>
    </xf>
    <xf numFmtId="0" fontId="19" fillId="0" borderId="0" xfId="0" applyFont="1" applyAlignment="1">
      <alignment/>
    </xf>
    <xf numFmtId="0" fontId="16" fillId="0" borderId="0" xfId="0" applyFont="1" applyAlignment="1">
      <alignment/>
    </xf>
    <xf numFmtId="199" fontId="81" fillId="34" borderId="46" xfId="42" applyNumberFormat="1" applyFont="1" applyFill="1" applyBorder="1" applyAlignment="1" applyProtection="1">
      <alignment horizontal="center" vertical="center"/>
      <protection/>
    </xf>
    <xf numFmtId="196" fontId="81" fillId="34" borderId="46" xfId="0" applyNumberFormat="1" applyFont="1" applyFill="1" applyBorder="1" applyAlignment="1" applyProtection="1">
      <alignment horizontal="center" vertical="center"/>
      <protection/>
    </xf>
    <xf numFmtId="196" fontId="81" fillId="34" borderId="198" xfId="0" applyNumberFormat="1" applyFont="1" applyFill="1" applyBorder="1" applyAlignment="1" applyProtection="1">
      <alignment horizontal="center" vertical="center"/>
      <protection/>
    </xf>
    <xf numFmtId="0" fontId="25" fillId="0" borderId="0" xfId="0" applyFont="1" applyAlignment="1">
      <alignment/>
    </xf>
    <xf numFmtId="0" fontId="0" fillId="0" borderId="0" xfId="0" applyAlignment="1">
      <alignment wrapText="1"/>
    </xf>
    <xf numFmtId="0" fontId="27" fillId="0" borderId="0" xfId="0" applyFont="1" applyAlignment="1" applyProtection="1">
      <alignment vertical="top"/>
      <protection locked="0"/>
    </xf>
    <xf numFmtId="0" fontId="35" fillId="0" borderId="0" xfId="0" applyFont="1" applyAlignment="1" applyProtection="1">
      <alignment/>
      <protection locked="0"/>
    </xf>
    <xf numFmtId="0" fontId="36" fillId="0" borderId="0" xfId="0" applyFont="1" applyAlignment="1" applyProtection="1">
      <alignment vertical="top"/>
      <protection locked="0"/>
    </xf>
    <xf numFmtId="0" fontId="43" fillId="0" borderId="0" xfId="0" applyFont="1" applyAlignment="1">
      <alignment/>
    </xf>
    <xf numFmtId="0" fontId="6" fillId="0" borderId="0" xfId="0" applyFont="1" applyAlignment="1">
      <alignment vertical="center" wrapText="1"/>
    </xf>
    <xf numFmtId="0" fontId="4" fillId="0" borderId="0" xfId="0" applyFont="1" applyAlignment="1">
      <alignment/>
    </xf>
    <xf numFmtId="0" fontId="0" fillId="0" borderId="0" xfId="0" applyAlignment="1">
      <alignment horizontal="right" wrapText="1"/>
    </xf>
    <xf numFmtId="0" fontId="6" fillId="0" borderId="0" xfId="0" applyFont="1" applyAlignment="1">
      <alignment wrapText="1"/>
    </xf>
    <xf numFmtId="0" fontId="25" fillId="0" borderId="0" xfId="0" applyFont="1" applyAlignment="1">
      <alignment vertical="top"/>
    </xf>
    <xf numFmtId="0" fontId="6" fillId="0" borderId="0" xfId="0" applyFont="1" applyAlignment="1">
      <alignment vertical="top" wrapText="1"/>
    </xf>
    <xf numFmtId="0" fontId="27" fillId="0" borderId="0" xfId="0" applyFont="1" applyAlignment="1">
      <alignment/>
    </xf>
    <xf numFmtId="0" fontId="27" fillId="0" borderId="0" xfId="0" applyFont="1" applyBorder="1" applyAlignment="1">
      <alignment horizontal="center" vertical="top"/>
    </xf>
    <xf numFmtId="0" fontId="36" fillId="35" borderId="46" xfId="0" applyFont="1" applyFill="1" applyBorder="1" applyAlignment="1">
      <alignment horizontal="center"/>
    </xf>
    <xf numFmtId="14" fontId="36" fillId="35" borderId="46" xfId="0" applyNumberFormat="1" applyFont="1" applyFill="1" applyBorder="1" applyAlignment="1">
      <alignment horizontal="center"/>
    </xf>
    <xf numFmtId="0" fontId="0" fillId="36" borderId="0" xfId="0" applyFill="1" applyAlignment="1" applyProtection="1">
      <alignment vertical="center"/>
      <protection locked="0"/>
    </xf>
    <xf numFmtId="0" fontId="36" fillId="36" borderId="52" xfId="0" applyFont="1" applyFill="1" applyBorder="1" applyAlignment="1" applyProtection="1">
      <alignment vertical="top" wrapText="1"/>
      <protection locked="0"/>
    </xf>
    <xf numFmtId="0" fontId="36" fillId="36" borderId="52" xfId="0" applyFont="1" applyFill="1" applyBorder="1" applyAlignment="1" applyProtection="1">
      <alignment/>
      <protection locked="0"/>
    </xf>
    <xf numFmtId="0" fontId="36" fillId="36" borderId="46" xfId="0" applyFont="1" applyFill="1" applyBorder="1" applyAlignment="1" applyProtection="1">
      <alignment horizontal="center"/>
      <protection locked="0"/>
    </xf>
    <xf numFmtId="183" fontId="75" fillId="35" borderId="223" xfId="0" applyNumberFormat="1" applyFont="1" applyFill="1" applyBorder="1" applyAlignment="1" applyProtection="1">
      <alignment horizontal="center"/>
      <protection locked="0"/>
    </xf>
    <xf numFmtId="0" fontId="75" fillId="35" borderId="144" xfId="0" applyFont="1" applyFill="1" applyBorder="1" applyAlignment="1" applyProtection="1">
      <alignment horizontal="center"/>
      <protection locked="0"/>
    </xf>
    <xf numFmtId="10" fontId="10" fillId="0" borderId="44" xfId="51" applyNumberFormat="1" applyFont="1" applyFill="1" applyBorder="1" applyAlignment="1" applyProtection="1">
      <alignment horizontal="center"/>
      <protection locked="0"/>
    </xf>
    <xf numFmtId="0" fontId="125" fillId="0" borderId="0" xfId="0" applyFont="1" applyAlignment="1" applyProtection="1">
      <alignment vertical="top" wrapText="1"/>
      <protection locked="0"/>
    </xf>
    <xf numFmtId="0" fontId="0" fillId="0" borderId="0" xfId="0" applyAlignment="1">
      <alignment vertical="top" wrapText="1"/>
    </xf>
    <xf numFmtId="0" fontId="27" fillId="35" borderId="166" xfId="0" applyFont="1" applyFill="1" applyBorder="1" applyAlignment="1">
      <alignment horizontal="center" vertical="center"/>
    </xf>
    <xf numFmtId="0" fontId="27" fillId="35" borderId="45" xfId="0" applyFont="1" applyFill="1" applyBorder="1" applyAlignment="1">
      <alignment horizontal="center" vertical="center"/>
    </xf>
    <xf numFmtId="0" fontId="0" fillId="0" borderId="0" xfId="0" applyAlignment="1">
      <alignment horizontal="left" vertical="top" wrapText="1"/>
    </xf>
    <xf numFmtId="0" fontId="0" fillId="0" borderId="0" xfId="0" applyFont="1" applyAlignment="1">
      <alignment vertical="top" wrapText="1"/>
    </xf>
    <xf numFmtId="0" fontId="30" fillId="0" borderId="0" xfId="0" applyFont="1" applyAlignment="1">
      <alignment vertical="top" wrapText="1"/>
    </xf>
    <xf numFmtId="0" fontId="110" fillId="0" borderId="0" xfId="0" applyFont="1" applyFill="1" applyAlignment="1" applyProtection="1">
      <alignment horizontal="right" vertical="center"/>
      <protection/>
    </xf>
    <xf numFmtId="0" fontId="27" fillId="0" borderId="19" xfId="0" applyFont="1" applyFill="1" applyBorder="1" applyAlignment="1">
      <alignment vertical="center"/>
    </xf>
    <xf numFmtId="0" fontId="27" fillId="0" borderId="0" xfId="0" applyFont="1" applyFill="1" applyAlignment="1">
      <alignment vertical="center"/>
    </xf>
    <xf numFmtId="0" fontId="4" fillId="36" borderId="16" xfId="0" applyFont="1" applyFill="1" applyBorder="1" applyAlignment="1" applyProtection="1">
      <alignment horizontal="center"/>
      <protection locked="0"/>
    </xf>
    <xf numFmtId="0" fontId="39" fillId="0" borderId="17" xfId="0" applyFont="1" applyBorder="1" applyAlignment="1" applyProtection="1">
      <alignment horizontal="center"/>
      <protection locked="0"/>
    </xf>
    <xf numFmtId="0" fontId="35" fillId="36" borderId="10" xfId="0" applyFont="1" applyFill="1" applyBorder="1" applyAlignment="1" applyProtection="1">
      <alignment/>
      <protection locked="0"/>
    </xf>
    <xf numFmtId="0" fontId="46" fillId="0" borderId="10" xfId="0" applyFont="1" applyBorder="1" applyAlignment="1" applyProtection="1">
      <alignment/>
      <protection locked="0"/>
    </xf>
    <xf numFmtId="0" fontId="121" fillId="35" borderId="16" xfId="0" applyFont="1" applyFill="1" applyBorder="1" applyAlignment="1" applyProtection="1">
      <alignment vertical="top" wrapText="1"/>
      <protection/>
    </xf>
    <xf numFmtId="0" fontId="41" fillId="0" borderId="193" xfId="0" applyFont="1" applyBorder="1" applyAlignment="1" applyProtection="1">
      <alignment vertical="top" wrapText="1"/>
      <protection/>
    </xf>
    <xf numFmtId="0" fontId="41" fillId="0" borderId="17" xfId="0" applyFont="1" applyBorder="1" applyAlignment="1" applyProtection="1">
      <alignment vertical="top" wrapText="1"/>
      <protection/>
    </xf>
    <xf numFmtId="0" fontId="4" fillId="0" borderId="166" xfId="0" applyFont="1" applyBorder="1" applyAlignment="1" applyProtection="1">
      <alignment vertical="top" wrapText="1"/>
      <protection/>
    </xf>
    <xf numFmtId="0" fontId="39" fillId="0" borderId="281" xfId="0" applyFont="1" applyBorder="1" applyAlignment="1" applyProtection="1">
      <alignment vertical="top" wrapText="1"/>
      <protection/>
    </xf>
    <xf numFmtId="0" fontId="39" fillId="0" borderId="45" xfId="0" applyFont="1" applyBorder="1" applyAlignment="1" applyProtection="1">
      <alignment vertical="top" wrapText="1"/>
      <protection/>
    </xf>
    <xf numFmtId="0" fontId="26" fillId="0" borderId="0" xfId="0" applyFont="1" applyAlignment="1" applyProtection="1">
      <alignment vertical="center"/>
      <protection/>
    </xf>
    <xf numFmtId="213" fontId="4" fillId="36" borderId="94" xfId="0" applyNumberFormat="1" applyFont="1" applyFill="1" applyBorder="1" applyAlignment="1" applyProtection="1">
      <alignment horizontal="right" vertical="center"/>
      <protection locked="0"/>
    </xf>
    <xf numFmtId="213" fontId="4" fillId="36" borderId="80" xfId="0" applyNumberFormat="1" applyFont="1" applyFill="1" applyBorder="1" applyAlignment="1" applyProtection="1">
      <alignment horizontal="right" vertical="center"/>
      <protection locked="0"/>
    </xf>
    <xf numFmtId="197" fontId="4" fillId="36" borderId="94" xfId="0" applyNumberFormat="1" applyFont="1" applyFill="1" applyBorder="1" applyAlignment="1" applyProtection="1">
      <alignment horizontal="right" vertical="center"/>
      <protection locked="0"/>
    </xf>
    <xf numFmtId="197" fontId="4" fillId="36" borderId="95" xfId="0" applyNumberFormat="1" applyFont="1" applyFill="1" applyBorder="1" applyAlignment="1" applyProtection="1">
      <alignment horizontal="right" vertical="center"/>
      <protection locked="0"/>
    </xf>
    <xf numFmtId="0" fontId="0" fillId="0" borderId="80" xfId="0" applyBorder="1" applyAlignment="1" applyProtection="1">
      <alignment horizontal="right" vertical="center"/>
      <protection locked="0"/>
    </xf>
    <xf numFmtId="0" fontId="122" fillId="0" borderId="0" xfId="0" applyFont="1" applyAlignment="1" applyProtection="1">
      <alignment vertical="center" wrapText="1"/>
      <protection locked="0"/>
    </xf>
    <xf numFmtId="0" fontId="0" fillId="0" borderId="0" xfId="0" applyAlignment="1">
      <alignment vertical="center" wrapText="1"/>
    </xf>
    <xf numFmtId="0" fontId="39" fillId="0" borderId="0" xfId="0" applyFont="1" applyFill="1" applyAlignment="1" applyProtection="1">
      <alignment vertical="center" wrapText="1"/>
      <protection/>
    </xf>
    <xf numFmtId="0" fontId="39" fillId="0" borderId="0" xfId="0" applyFont="1" applyFill="1" applyBorder="1" applyAlignment="1" applyProtection="1">
      <alignment vertical="center" wrapText="1"/>
      <protection/>
    </xf>
    <xf numFmtId="177" fontId="4" fillId="36" borderId="94" xfId="0" applyNumberFormat="1" applyFont="1" applyFill="1" applyBorder="1" applyAlignment="1" applyProtection="1">
      <alignment vertical="center"/>
      <protection locked="0"/>
    </xf>
    <xf numFmtId="177" fontId="4" fillId="36" borderId="80" xfId="0" applyNumberFormat="1" applyFont="1" applyFill="1" applyBorder="1" applyAlignment="1" applyProtection="1">
      <alignment vertical="center"/>
      <protection locked="0"/>
    </xf>
    <xf numFmtId="0" fontId="110" fillId="0" borderId="0" xfId="0" applyFont="1" applyAlignment="1" applyProtection="1">
      <alignment horizontal="right"/>
      <protection/>
    </xf>
    <xf numFmtId="0" fontId="27" fillId="0" borderId="0" xfId="0" applyFont="1" applyAlignment="1">
      <alignment/>
    </xf>
    <xf numFmtId="0" fontId="22" fillId="0" borderId="0" xfId="0" applyFont="1" applyFill="1" applyAlignment="1" applyProtection="1">
      <alignment vertical="center" wrapText="1"/>
      <protection/>
    </xf>
    <xf numFmtId="0" fontId="100" fillId="0" borderId="0" xfId="0" applyFont="1" applyFill="1" applyAlignment="1" applyProtection="1">
      <alignment vertical="center" wrapText="1"/>
      <protection/>
    </xf>
    <xf numFmtId="0" fontId="100" fillId="0" borderId="19" xfId="0" applyFont="1" applyFill="1" applyBorder="1" applyAlignment="1" applyProtection="1">
      <alignment vertical="center" wrapText="1"/>
      <protection/>
    </xf>
    <xf numFmtId="0" fontId="4" fillId="0" borderId="0" xfId="0" applyFont="1" applyFill="1" applyAlignment="1" applyProtection="1">
      <alignment vertical="center"/>
      <protection/>
    </xf>
    <xf numFmtId="0" fontId="0" fillId="0" borderId="0" xfId="0" applyAlignment="1">
      <alignment vertical="center"/>
    </xf>
    <xf numFmtId="0" fontId="110" fillId="0" borderId="0" xfId="0" applyFont="1" applyFill="1" applyAlignment="1" applyProtection="1">
      <alignment horizontal="right" vertical="center" wrapText="1"/>
      <protection/>
    </xf>
    <xf numFmtId="0" fontId="0" fillId="0" borderId="0" xfId="0" applyAlignment="1" applyProtection="1">
      <alignment horizontal="right" vertical="center" wrapText="1"/>
      <protection/>
    </xf>
    <xf numFmtId="0" fontId="43" fillId="0" borderId="117" xfId="0" applyFont="1" applyBorder="1" applyAlignment="1">
      <alignment horizontal="center" vertical="top" wrapText="1"/>
    </xf>
    <xf numFmtId="0" fontId="25" fillId="0" borderId="117" xfId="0" applyFont="1" applyBorder="1" applyAlignment="1">
      <alignment vertical="top"/>
    </xf>
    <xf numFmtId="0" fontId="36" fillId="0" borderId="0" xfId="0" applyFont="1" applyBorder="1" applyAlignment="1">
      <alignment horizontal="center" vertical="center" wrapText="1"/>
    </xf>
    <xf numFmtId="0" fontId="25" fillId="0" borderId="0" xfId="0" applyFont="1" applyAlignment="1">
      <alignment/>
    </xf>
    <xf numFmtId="3" fontId="43" fillId="0" borderId="16" xfId="0" applyNumberFormat="1" applyFont="1" applyBorder="1" applyAlignment="1">
      <alignment horizontal="center" vertical="center" wrapText="1"/>
    </xf>
    <xf numFmtId="0" fontId="0" fillId="0" borderId="17" xfId="0" applyFont="1" applyBorder="1" applyAlignment="1">
      <alignment horizontal="center" vertical="center" wrapText="1"/>
    </xf>
    <xf numFmtId="3" fontId="58" fillId="0" borderId="16" xfId="0" applyNumberFormat="1" applyFont="1" applyBorder="1" applyAlignment="1">
      <alignment horizontal="center" vertical="center"/>
    </xf>
    <xf numFmtId="0" fontId="57" fillId="0" borderId="17" xfId="0" applyFont="1" applyBorder="1" applyAlignment="1">
      <alignment horizontal="center" vertical="center"/>
    </xf>
    <xf numFmtId="0" fontId="57" fillId="0" borderId="282" xfId="0" applyFont="1" applyBorder="1" applyAlignment="1">
      <alignment horizontal="center" vertical="center"/>
    </xf>
    <xf numFmtId="0" fontId="36" fillId="0" borderId="112" xfId="0" applyFont="1" applyBorder="1" applyAlignment="1">
      <alignment horizontal="center" wrapText="1"/>
    </xf>
    <xf numFmtId="0" fontId="25" fillId="0" borderId="112" xfId="0" applyFont="1" applyBorder="1" applyAlignment="1">
      <alignment/>
    </xf>
    <xf numFmtId="0" fontId="35" fillId="35" borderId="10" xfId="0" applyFont="1" applyFill="1" applyBorder="1" applyAlignment="1">
      <alignment horizontal="center"/>
    </xf>
    <xf numFmtId="0" fontId="40" fillId="35" borderId="10" xfId="0" applyFont="1" applyFill="1" applyBorder="1" applyAlignment="1">
      <alignment horizontal="left" vertical="center"/>
    </xf>
    <xf numFmtId="0" fontId="41" fillId="35" borderId="10" xfId="0" applyFont="1" applyFill="1" applyBorder="1" applyAlignment="1">
      <alignment horizontal="left" vertical="center"/>
    </xf>
    <xf numFmtId="0" fontId="36" fillId="34" borderId="94" xfId="0" applyFont="1" applyFill="1" applyBorder="1" applyAlignment="1" quotePrefix="1">
      <alignment horizontal="center" vertical="center"/>
    </xf>
    <xf numFmtId="0" fontId="36" fillId="0" borderId="283" xfId="0" applyFont="1" applyBorder="1" applyAlignment="1">
      <alignment horizontal="center" vertical="center"/>
    </xf>
    <xf numFmtId="0" fontId="36" fillId="34" borderId="94" xfId="0" applyFont="1" applyFill="1" applyBorder="1" applyAlignment="1">
      <alignment vertical="center"/>
    </xf>
    <xf numFmtId="0" fontId="25" fillId="0" borderId="283" xfId="0" applyFont="1" applyBorder="1" applyAlignment="1">
      <alignment vertical="center"/>
    </xf>
    <xf numFmtId="194" fontId="47" fillId="0" borderId="284" xfId="0" applyNumberFormat="1" applyFont="1" applyBorder="1" applyAlignment="1">
      <alignment horizontal="center"/>
    </xf>
    <xf numFmtId="194" fontId="48" fillId="0" borderId="285" xfId="0" applyNumberFormat="1" applyFont="1" applyBorder="1" applyAlignment="1">
      <alignment horizontal="center"/>
    </xf>
    <xf numFmtId="205" fontId="4" fillId="35" borderId="52" xfId="0" applyNumberFormat="1" applyFont="1" applyFill="1" applyBorder="1" applyAlignment="1" applyProtection="1">
      <alignment/>
      <protection/>
    </xf>
    <xf numFmtId="0" fontId="52" fillId="0" borderId="0" xfId="0" applyFont="1" applyAlignment="1" applyProtection="1" quotePrefix="1">
      <alignment vertical="center" wrapText="1"/>
      <protection/>
    </xf>
    <xf numFmtId="0" fontId="4" fillId="0" borderId="0" xfId="0" applyFont="1" applyAlignment="1">
      <alignment vertical="center" wrapText="1"/>
    </xf>
    <xf numFmtId="0" fontId="0" fillId="0" borderId="0" xfId="0" applyFont="1" applyBorder="1" applyAlignment="1" applyProtection="1">
      <alignment vertical="center" wrapText="1"/>
      <protection/>
    </xf>
    <xf numFmtId="0" fontId="27" fillId="0" borderId="286" xfId="0" applyFont="1" applyBorder="1" applyAlignment="1" applyProtection="1">
      <alignment vertical="center" wrapText="1"/>
      <protection/>
    </xf>
    <xf numFmtId="0" fontId="27" fillId="0" borderId="12" xfId="0" applyFont="1" applyBorder="1" applyAlignment="1" applyProtection="1">
      <alignment vertical="center" wrapText="1"/>
      <protection/>
    </xf>
    <xf numFmtId="0" fontId="27" fillId="0" borderId="13" xfId="0" applyFont="1" applyBorder="1" applyAlignment="1" applyProtection="1">
      <alignment vertical="center" wrapText="1"/>
      <protection/>
    </xf>
    <xf numFmtId="0" fontId="27" fillId="0" borderId="18" xfId="0" applyFont="1" applyBorder="1" applyAlignment="1" applyProtection="1">
      <alignment vertical="center" wrapText="1"/>
      <protection/>
    </xf>
    <xf numFmtId="0" fontId="27" fillId="0" borderId="0" xfId="0" applyFont="1" applyBorder="1" applyAlignment="1" applyProtection="1">
      <alignment vertical="center" wrapText="1"/>
      <protection/>
    </xf>
    <xf numFmtId="0" fontId="27" fillId="0" borderId="184" xfId="0" applyFont="1" applyBorder="1" applyAlignment="1" applyProtection="1">
      <alignment vertical="center" wrapText="1"/>
      <protection/>
    </xf>
    <xf numFmtId="0" fontId="27" fillId="0" borderId="57" xfId="0" applyFont="1" applyBorder="1" applyAlignment="1" applyProtection="1">
      <alignment vertical="center" wrapText="1"/>
      <protection/>
    </xf>
    <xf numFmtId="0" fontId="27" fillId="0" borderId="10" xfId="0" applyFont="1" applyBorder="1" applyAlignment="1" applyProtection="1">
      <alignment vertical="center" wrapText="1"/>
      <protection/>
    </xf>
    <xf numFmtId="0" fontId="27" fillId="0" borderId="71" xfId="0" applyFont="1" applyBorder="1" applyAlignment="1" applyProtection="1">
      <alignment vertical="center" wrapText="1"/>
      <protection/>
    </xf>
    <xf numFmtId="0" fontId="4" fillId="0" borderId="114" xfId="0" applyFont="1" applyBorder="1" applyAlignment="1" applyProtection="1">
      <alignment horizontal="center" vertical="center" wrapText="1"/>
      <protection/>
    </xf>
    <xf numFmtId="0" fontId="39" fillId="0" borderId="0" xfId="0" applyFont="1" applyBorder="1" applyAlignment="1" applyProtection="1">
      <alignment wrapText="1"/>
      <protection/>
    </xf>
    <xf numFmtId="0" fontId="39" fillId="0" borderId="115" xfId="0" applyFont="1" applyBorder="1" applyAlignment="1" applyProtection="1">
      <alignment wrapText="1"/>
      <protection/>
    </xf>
    <xf numFmtId="0" fontId="115" fillId="0" borderId="114" xfId="0" applyFont="1" applyBorder="1" applyAlignment="1" applyProtection="1">
      <alignment horizontal="center" vertical="center" wrapText="1"/>
      <protection/>
    </xf>
    <xf numFmtId="0" fontId="116" fillId="0" borderId="0" xfId="0" applyFont="1" applyBorder="1" applyAlignment="1" applyProtection="1">
      <alignment wrapText="1"/>
      <protection/>
    </xf>
    <xf numFmtId="0" fontId="117" fillId="0" borderId="115" xfId="0" applyFont="1" applyBorder="1" applyAlignment="1" applyProtection="1">
      <alignment wrapText="1"/>
      <protection/>
    </xf>
    <xf numFmtId="0" fontId="0" fillId="0" borderId="116" xfId="0" applyBorder="1" applyAlignment="1" applyProtection="1">
      <alignment horizontal="left" vertical="top" wrapText="1"/>
      <protection/>
    </xf>
    <xf numFmtId="0" fontId="0" fillId="0" borderId="117" xfId="0" applyBorder="1" applyAlignment="1" applyProtection="1">
      <alignment wrapText="1"/>
      <protection/>
    </xf>
    <xf numFmtId="0" fontId="19" fillId="0" borderId="287" xfId="0" applyFont="1" applyBorder="1" applyAlignment="1" applyProtection="1">
      <alignment horizontal="left" vertical="top" wrapText="1"/>
      <protection/>
    </xf>
    <xf numFmtId="0" fontId="0" fillId="0" borderId="117" xfId="0" applyBorder="1" applyAlignment="1" applyProtection="1">
      <alignment horizontal="left" vertical="top" wrapText="1"/>
      <protection/>
    </xf>
    <xf numFmtId="0" fontId="0" fillId="0" borderId="118" xfId="0" applyBorder="1" applyAlignment="1" applyProtection="1">
      <alignment wrapText="1"/>
      <protection/>
    </xf>
    <xf numFmtId="3" fontId="35" fillId="35" borderId="16" xfId="0" applyNumberFormat="1" applyFont="1" applyFill="1" applyBorder="1" applyAlignment="1" applyProtection="1">
      <alignment horizontal="center"/>
      <protection/>
    </xf>
    <xf numFmtId="3" fontId="35" fillId="35" borderId="17" xfId="0" applyNumberFormat="1" applyFont="1" applyFill="1" applyBorder="1" applyAlignment="1" applyProtection="1">
      <alignment horizontal="center"/>
      <protection/>
    </xf>
    <xf numFmtId="0" fontId="4" fillId="0" borderId="0" xfId="0" applyFont="1" applyAlignment="1" applyProtection="1">
      <alignment vertical="top" wrapText="1"/>
      <protection/>
    </xf>
    <xf numFmtId="0" fontId="39" fillId="0" borderId="0" xfId="0" applyFont="1" applyAlignment="1" applyProtection="1">
      <alignment wrapText="1"/>
      <protection/>
    </xf>
    <xf numFmtId="0" fontId="4" fillId="0" borderId="111" xfId="0" applyFont="1" applyBorder="1" applyAlignment="1" applyProtection="1">
      <alignment horizontal="center" wrapText="1"/>
      <protection/>
    </xf>
    <xf numFmtId="0" fontId="39" fillId="0" borderId="112" xfId="0" applyFont="1" applyBorder="1" applyAlignment="1" applyProtection="1">
      <alignment wrapText="1"/>
      <protection/>
    </xf>
    <xf numFmtId="0" fontId="39" fillId="0" borderId="113" xfId="0" applyFont="1" applyBorder="1" applyAlignment="1" applyProtection="1">
      <alignment wrapText="1"/>
      <protection/>
    </xf>
    <xf numFmtId="0" fontId="35" fillId="35" borderId="10" xfId="0" applyFont="1" applyFill="1" applyBorder="1" applyAlignment="1" applyProtection="1">
      <alignment horizontal="left"/>
      <protection/>
    </xf>
    <xf numFmtId="0" fontId="6" fillId="35" borderId="10" xfId="0" applyFont="1" applyFill="1" applyBorder="1" applyAlignment="1" applyProtection="1">
      <alignment horizontal="left"/>
      <protection/>
    </xf>
    <xf numFmtId="0" fontId="4" fillId="35" borderId="16" xfId="0" applyFont="1" applyFill="1" applyBorder="1" applyAlignment="1" applyProtection="1">
      <alignment horizontal="center" vertical="center"/>
      <protection/>
    </xf>
    <xf numFmtId="0" fontId="0" fillId="35" borderId="17" xfId="0" applyFill="1" applyBorder="1" applyAlignment="1" applyProtection="1">
      <alignment horizontal="center" vertical="center"/>
      <protection/>
    </xf>
    <xf numFmtId="228" fontId="4" fillId="35" borderId="94" xfId="0" applyNumberFormat="1" applyFont="1" applyFill="1" applyBorder="1" applyAlignment="1" applyProtection="1">
      <alignment horizontal="center" vertical="center"/>
      <protection locked="0"/>
    </xf>
    <xf numFmtId="0" fontId="39" fillId="0" borderId="80" xfId="0" applyFont="1" applyBorder="1" applyAlignment="1">
      <alignment horizontal="center" vertical="center"/>
    </xf>
    <xf numFmtId="0" fontId="4" fillId="0" borderId="18" xfId="0" applyFont="1" applyBorder="1" applyAlignment="1" applyProtection="1">
      <alignment vertical="center"/>
      <protection/>
    </xf>
    <xf numFmtId="0" fontId="0" fillId="0" borderId="0" xfId="0" applyAlignment="1" applyProtection="1">
      <alignment/>
      <protection/>
    </xf>
    <xf numFmtId="0" fontId="6" fillId="0" borderId="136" xfId="0" applyFont="1" applyBorder="1" applyAlignment="1" applyProtection="1">
      <alignment horizontal="left" wrapText="1"/>
      <protection/>
    </xf>
    <xf numFmtId="0" fontId="0" fillId="0" borderId="0" xfId="0" applyBorder="1" applyAlignment="1" applyProtection="1">
      <alignment horizontal="left" wrapText="1"/>
      <protection/>
    </xf>
    <xf numFmtId="0" fontId="0" fillId="0" borderId="184" xfId="0" applyBorder="1" applyAlignment="1" applyProtection="1">
      <alignment wrapText="1"/>
      <protection/>
    </xf>
    <xf numFmtId="0" fontId="0" fillId="0" borderId="10" xfId="0" applyBorder="1" applyAlignment="1" applyProtection="1">
      <alignment wrapText="1"/>
      <protection/>
    </xf>
    <xf numFmtId="0" fontId="0" fillId="0" borderId="136" xfId="0" applyBorder="1" applyAlignment="1" applyProtection="1">
      <alignment vertical="center" wrapText="1"/>
      <protection/>
    </xf>
    <xf numFmtId="0" fontId="0" fillId="0" borderId="0" xfId="0" applyAlignment="1" applyProtection="1">
      <alignment vertical="center" wrapText="1"/>
      <protection/>
    </xf>
    <xf numFmtId="0" fontId="0" fillId="0" borderId="19" xfId="0" applyBorder="1" applyAlignment="1" applyProtection="1">
      <alignment vertical="center" wrapText="1"/>
      <protection/>
    </xf>
    <xf numFmtId="0" fontId="0" fillId="0" borderId="194" xfId="0" applyBorder="1" applyAlignment="1" applyProtection="1">
      <alignment vertical="center" wrapText="1"/>
      <protection/>
    </xf>
    <xf numFmtId="0" fontId="0" fillId="0" borderId="10" xfId="0" applyBorder="1" applyAlignment="1" applyProtection="1">
      <alignment vertical="center" wrapText="1"/>
      <protection/>
    </xf>
    <xf numFmtId="0" fontId="0" fillId="0" borderId="44" xfId="0" applyBorder="1" applyAlignment="1" applyProtection="1">
      <alignment vertical="center" wrapText="1"/>
      <protection/>
    </xf>
    <xf numFmtId="0" fontId="6" fillId="0" borderId="239" xfId="0" applyFont="1" applyBorder="1" applyAlignment="1" applyProtection="1">
      <alignment horizontal="left" vertical="top"/>
      <protection/>
    </xf>
    <xf numFmtId="0" fontId="0" fillId="0" borderId="83" xfId="0" applyBorder="1" applyAlignment="1" applyProtection="1">
      <alignment horizontal="left" vertical="top"/>
      <protection/>
    </xf>
    <xf numFmtId="0" fontId="0" fillId="0" borderId="15" xfId="0" applyBorder="1" applyAlignment="1" applyProtection="1">
      <alignment horizontal="left" vertical="top"/>
      <protection/>
    </xf>
    <xf numFmtId="0" fontId="6" fillId="0" borderId="136" xfId="0" applyFont="1" applyBorder="1" applyAlignment="1" applyProtection="1">
      <alignment horizontal="left"/>
      <protection/>
    </xf>
    <xf numFmtId="0" fontId="0" fillId="0" borderId="0" xfId="0" applyBorder="1" applyAlignment="1" applyProtection="1">
      <alignment horizontal="left"/>
      <protection/>
    </xf>
    <xf numFmtId="0" fontId="0" fillId="0" borderId="184" xfId="0" applyBorder="1" applyAlignment="1" applyProtection="1">
      <alignment horizontal="left"/>
      <protection/>
    </xf>
    <xf numFmtId="0" fontId="0" fillId="0" borderId="0" xfId="0" applyBorder="1" applyAlignment="1" applyProtection="1">
      <alignment/>
      <protection/>
    </xf>
    <xf numFmtId="0" fontId="0" fillId="0" borderId="184" xfId="0" applyBorder="1" applyAlignment="1" applyProtection="1">
      <alignment/>
      <protection/>
    </xf>
    <xf numFmtId="0" fontId="6" fillId="0" borderId="136" xfId="0" applyFont="1" applyBorder="1" applyAlignment="1" applyProtection="1">
      <alignment horizontal="left" vertical="top"/>
      <protection/>
    </xf>
    <xf numFmtId="0" fontId="0" fillId="0" borderId="0" xfId="0" applyBorder="1" applyAlignment="1" applyProtection="1">
      <alignment vertical="top"/>
      <protection/>
    </xf>
    <xf numFmtId="0" fontId="0" fillId="0" borderId="184" xfId="0" applyBorder="1" applyAlignment="1" applyProtection="1">
      <alignment vertical="top"/>
      <protection/>
    </xf>
    <xf numFmtId="0" fontId="6" fillId="0" borderId="0" xfId="0" applyFont="1" applyBorder="1" applyAlignment="1" applyProtection="1">
      <alignment horizontal="left" wrapText="1"/>
      <protection/>
    </xf>
    <xf numFmtId="0" fontId="6" fillId="0" borderId="10" xfId="0" applyFont="1" applyBorder="1" applyAlignment="1" applyProtection="1">
      <alignment horizontal="left" wrapText="1"/>
      <protection/>
    </xf>
    <xf numFmtId="0" fontId="6" fillId="0" borderId="71" xfId="0" applyFont="1" applyBorder="1" applyAlignment="1" applyProtection="1">
      <alignment wrapText="1"/>
      <protection/>
    </xf>
    <xf numFmtId="0" fontId="0" fillId="0" borderId="226" xfId="0" applyBorder="1" applyAlignment="1" applyProtection="1">
      <alignment vertical="center" wrapText="1"/>
      <protection/>
    </xf>
    <xf numFmtId="0" fontId="0" fillId="0" borderId="274" xfId="0" applyBorder="1" applyAlignment="1" applyProtection="1">
      <alignment vertical="center" wrapText="1"/>
      <protection/>
    </xf>
    <xf numFmtId="14" fontId="87" fillId="35" borderId="288" xfId="0" applyNumberFormat="1" applyFont="1" applyFill="1" applyBorder="1" applyAlignment="1" applyProtection="1">
      <alignment horizontal="center" vertical="top" wrapText="1"/>
      <protection/>
    </xf>
    <xf numFmtId="14" fontId="87" fillId="35" borderId="289" xfId="0" applyNumberFormat="1" applyFont="1" applyFill="1" applyBorder="1" applyAlignment="1" applyProtection="1">
      <alignment horizontal="center" vertical="top" wrapText="1"/>
      <protection/>
    </xf>
    <xf numFmtId="14" fontId="87" fillId="35" borderId="290" xfId="0" applyNumberFormat="1" applyFont="1" applyFill="1" applyBorder="1" applyAlignment="1" applyProtection="1">
      <alignment horizontal="center" vertical="top" wrapText="1"/>
      <protection/>
    </xf>
    <xf numFmtId="0" fontId="90" fillId="34" borderId="194" xfId="0" applyFont="1" applyFill="1" applyBorder="1" applyAlignment="1" applyProtection="1">
      <alignment vertical="center" wrapText="1"/>
      <protection/>
    </xf>
    <xf numFmtId="0" fontId="90" fillId="34" borderId="10" xfId="0" applyFont="1" applyFill="1" applyBorder="1" applyAlignment="1" applyProtection="1">
      <alignment vertical="center" wrapText="1"/>
      <protection/>
    </xf>
    <xf numFmtId="0" fontId="6" fillId="0" borderId="136" xfId="0" applyFont="1" applyBorder="1" applyAlignment="1" applyProtection="1">
      <alignment vertical="top" wrapText="1"/>
      <protection/>
    </xf>
    <xf numFmtId="0" fontId="0" fillId="0" borderId="0" xfId="0" applyFont="1" applyBorder="1" applyAlignment="1" applyProtection="1">
      <alignment/>
      <protection/>
    </xf>
    <xf numFmtId="0" fontId="0" fillId="0" borderId="184" xfId="0" applyFont="1" applyBorder="1" applyAlignment="1" applyProtection="1">
      <alignment/>
      <protection/>
    </xf>
    <xf numFmtId="0" fontId="6" fillId="0" borderId="184" xfId="0" applyFont="1" applyBorder="1" applyAlignment="1" applyProtection="1">
      <alignment wrapText="1"/>
      <protection/>
    </xf>
    <xf numFmtId="0" fontId="90" fillId="34" borderId="194" xfId="0" applyFont="1" applyFill="1" applyBorder="1" applyAlignment="1" applyProtection="1">
      <alignment vertical="top" wrapText="1"/>
      <protection/>
    </xf>
    <xf numFmtId="0" fontId="90" fillId="34" borderId="10" xfId="0" applyFont="1" applyFill="1" applyBorder="1" applyAlignment="1" applyProtection="1">
      <alignment vertical="top" wrapText="1"/>
      <protection/>
    </xf>
    <xf numFmtId="0" fontId="90" fillId="34" borderId="44" xfId="0" applyFont="1" applyFill="1" applyBorder="1" applyAlignment="1" applyProtection="1">
      <alignment vertical="top" wrapText="1"/>
      <protection/>
    </xf>
    <xf numFmtId="220" fontId="6" fillId="35" borderId="291" xfId="0" applyNumberFormat="1" applyFont="1" applyFill="1" applyBorder="1" applyAlignment="1" applyProtection="1">
      <alignment horizontal="right"/>
      <protection/>
    </xf>
    <xf numFmtId="220" fontId="0" fillId="0" borderId="292" xfId="0" applyNumberFormat="1" applyBorder="1" applyAlignment="1" applyProtection="1">
      <alignment/>
      <protection/>
    </xf>
    <xf numFmtId="220" fontId="6" fillId="35" borderId="197" xfId="0" applyNumberFormat="1" applyFont="1" applyFill="1" applyBorder="1" applyAlignment="1" applyProtection="1">
      <alignment horizontal="center" vertical="center"/>
      <protection/>
    </xf>
    <xf numFmtId="0" fontId="0" fillId="0" borderId="259" xfId="0" applyBorder="1" applyAlignment="1" applyProtection="1">
      <alignment horizontal="center" vertical="center"/>
      <protection/>
    </xf>
    <xf numFmtId="0" fontId="0" fillId="0" borderId="136" xfId="0" applyFont="1" applyBorder="1" applyAlignment="1" applyProtection="1">
      <alignment wrapText="1"/>
      <protection/>
    </xf>
    <xf numFmtId="0" fontId="0" fillId="0" borderId="0" xfId="0" applyFont="1" applyBorder="1" applyAlignment="1" applyProtection="1">
      <alignment wrapText="1"/>
      <protection/>
    </xf>
    <xf numFmtId="0" fontId="0" fillId="0" borderId="184" xfId="0" applyFont="1" applyBorder="1" applyAlignment="1" applyProtection="1">
      <alignment wrapText="1"/>
      <protection/>
    </xf>
    <xf numFmtId="220" fontId="79" fillId="35" borderId="293" xfId="0" applyNumberFormat="1" applyFont="1" applyFill="1" applyBorder="1" applyAlignment="1" applyProtection="1">
      <alignment horizontal="right"/>
      <protection/>
    </xf>
    <xf numFmtId="220" fontId="79" fillId="35" borderId="294" xfId="0" applyNumberFormat="1" applyFont="1" applyFill="1" applyBorder="1" applyAlignment="1" applyProtection="1">
      <alignment horizontal="right"/>
      <protection/>
    </xf>
    <xf numFmtId="220" fontId="79" fillId="35" borderId="292" xfId="0" applyNumberFormat="1" applyFont="1" applyFill="1" applyBorder="1" applyAlignment="1" applyProtection="1">
      <alignment horizontal="right"/>
      <protection/>
    </xf>
    <xf numFmtId="0" fontId="19" fillId="0" borderId="136" xfId="0" applyFont="1" applyBorder="1" applyAlignment="1" applyProtection="1">
      <alignment vertical="center" wrapText="1"/>
      <protection/>
    </xf>
    <xf numFmtId="0" fontId="0" fillId="0" borderId="0" xfId="0" applyBorder="1" applyAlignment="1" applyProtection="1">
      <alignment vertical="center" wrapText="1"/>
      <protection/>
    </xf>
    <xf numFmtId="0" fontId="6" fillId="0" borderId="151" xfId="0" applyFont="1" applyBorder="1" applyAlignment="1" applyProtection="1">
      <alignment vertical="center"/>
      <protection/>
    </xf>
    <xf numFmtId="0" fontId="0" fillId="0" borderId="274" xfId="0" applyBorder="1" applyAlignment="1">
      <alignment vertical="center"/>
    </xf>
    <xf numFmtId="220" fontId="6" fillId="35" borderId="224" xfId="0" applyNumberFormat="1" applyFont="1" applyFill="1" applyBorder="1" applyAlignment="1" applyProtection="1">
      <alignment horizontal="right" vertical="center"/>
      <protection/>
    </xf>
    <xf numFmtId="0" fontId="0" fillId="0" borderId="224" xfId="0" applyBorder="1" applyAlignment="1" applyProtection="1">
      <alignment vertical="center"/>
      <protection/>
    </xf>
    <xf numFmtId="0" fontId="0" fillId="0" borderId="136" xfId="0" applyFont="1" applyBorder="1" applyAlignment="1" applyProtection="1">
      <alignment vertical="center"/>
      <protection/>
    </xf>
    <xf numFmtId="0" fontId="0" fillId="0" borderId="0" xfId="0" applyFont="1" applyAlignment="1" applyProtection="1">
      <alignment vertical="center"/>
      <protection/>
    </xf>
    <xf numFmtId="0" fontId="0" fillId="0" borderId="184" xfId="0" applyFont="1" applyBorder="1" applyAlignment="1" applyProtection="1">
      <alignment vertical="center"/>
      <protection/>
    </xf>
    <xf numFmtId="220" fontId="6" fillId="35" borderId="294" xfId="0" applyNumberFormat="1" applyFont="1" applyFill="1" applyBorder="1" applyAlignment="1" applyProtection="1">
      <alignment horizontal="right"/>
      <protection/>
    </xf>
    <xf numFmtId="0" fontId="0" fillId="0" borderId="292" xfId="0" applyBorder="1" applyAlignment="1" applyProtection="1">
      <alignment horizontal="right"/>
      <protection/>
    </xf>
    <xf numFmtId="220" fontId="6" fillId="35" borderId="295" xfId="0" applyNumberFormat="1" applyFont="1" applyFill="1" applyBorder="1" applyAlignment="1" applyProtection="1">
      <alignment horizontal="right" vertical="center"/>
      <protection/>
    </xf>
    <xf numFmtId="0" fontId="0" fillId="0" borderId="224" xfId="0" applyBorder="1" applyAlignment="1" applyProtection="1">
      <alignment horizontal="right" vertical="center"/>
      <protection/>
    </xf>
    <xf numFmtId="0" fontId="0" fillId="0" borderId="237" xfId="0" applyBorder="1" applyAlignment="1" applyProtection="1">
      <alignment horizontal="right" vertical="center"/>
      <protection/>
    </xf>
    <xf numFmtId="0" fontId="0" fillId="0" borderId="294" xfId="0" applyBorder="1" applyAlignment="1" applyProtection="1">
      <alignment/>
      <protection/>
    </xf>
    <xf numFmtId="0" fontId="0" fillId="0" borderId="292" xfId="0" applyBorder="1" applyAlignment="1" applyProtection="1">
      <alignment/>
      <protection/>
    </xf>
    <xf numFmtId="0" fontId="0" fillId="0" borderId="296" xfId="0" applyBorder="1" applyAlignment="1" applyProtection="1">
      <alignment horizontal="left"/>
      <protection/>
    </xf>
    <xf numFmtId="0" fontId="0" fillId="0" borderId="210" xfId="0" applyBorder="1" applyAlignment="1" applyProtection="1">
      <alignment horizontal="left"/>
      <protection/>
    </xf>
    <xf numFmtId="0" fontId="30" fillId="0" borderId="136"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24" xfId="0" applyFont="1" applyBorder="1" applyAlignment="1" applyProtection="1">
      <alignment vertical="center"/>
      <protection/>
    </xf>
    <xf numFmtId="0" fontId="0" fillId="41" borderId="137" xfId="0" applyFill="1" applyBorder="1" applyAlignment="1" applyProtection="1">
      <alignment vertical="center"/>
      <protection/>
    </xf>
    <xf numFmtId="0" fontId="0" fillId="41" borderId="152" xfId="0" applyFill="1" applyBorder="1" applyAlignment="1" applyProtection="1">
      <alignment vertical="center"/>
      <protection/>
    </xf>
    <xf numFmtId="0" fontId="0" fillId="41" borderId="191" xfId="0" applyFill="1" applyBorder="1" applyAlignment="1" applyProtection="1">
      <alignment vertical="center"/>
      <protection/>
    </xf>
    <xf numFmtId="0" fontId="0" fillId="0" borderId="0" xfId="0" applyBorder="1" applyAlignment="1" applyProtection="1">
      <alignment vertical="center"/>
      <protection/>
    </xf>
    <xf numFmtId="0" fontId="6" fillId="0" borderId="136" xfId="0" applyFont="1" applyBorder="1" applyAlignment="1" applyProtection="1">
      <alignment vertical="center"/>
      <protection/>
    </xf>
    <xf numFmtId="0" fontId="19" fillId="0" borderId="136" xfId="0" applyFont="1" applyBorder="1" applyAlignment="1" applyProtection="1">
      <alignment vertical="center"/>
      <protection/>
    </xf>
    <xf numFmtId="0" fontId="6" fillId="0" borderId="235" xfId="0" applyFont="1" applyBorder="1" applyAlignment="1" applyProtection="1">
      <alignment horizontal="left" vertical="top" wrapText="1"/>
      <protection/>
    </xf>
    <xf numFmtId="0" fontId="6" fillId="0" borderId="60" xfId="0" applyFont="1" applyBorder="1" applyAlignment="1" applyProtection="1">
      <alignment vertical="top" wrapText="1"/>
      <protection/>
    </xf>
    <xf numFmtId="0" fontId="6" fillId="0" borderId="297" xfId="0" applyFont="1" applyBorder="1" applyAlignment="1" applyProtection="1">
      <alignment vertical="top" wrapText="1"/>
      <protection/>
    </xf>
    <xf numFmtId="0" fontId="35" fillId="0" borderId="197" xfId="0" applyFont="1" applyFill="1" applyBorder="1" applyAlignment="1" applyProtection="1">
      <alignment horizontal="center" vertical="center"/>
      <protection/>
    </xf>
    <xf numFmtId="0" fontId="46" fillId="0" borderId="292" xfId="0" applyFont="1" applyFill="1" applyBorder="1" applyAlignment="1" applyProtection="1">
      <alignment horizontal="center" vertical="center"/>
      <protection/>
    </xf>
    <xf numFmtId="198" fontId="6" fillId="35" borderId="298" xfId="0" applyNumberFormat="1" applyFont="1" applyFill="1" applyBorder="1" applyAlignment="1" applyProtection="1">
      <alignment/>
      <protection/>
    </xf>
    <xf numFmtId="198" fontId="6" fillId="35" borderId="281" xfId="0" applyNumberFormat="1" applyFont="1" applyFill="1" applyBorder="1" applyAlignment="1" applyProtection="1">
      <alignment/>
      <protection/>
    </xf>
    <xf numFmtId="198" fontId="6" fillId="35" borderId="45" xfId="0" applyNumberFormat="1" applyFont="1" applyFill="1" applyBorder="1" applyAlignment="1" applyProtection="1">
      <alignment/>
      <protection/>
    </xf>
    <xf numFmtId="0" fontId="0" fillId="0" borderId="299" xfId="0" applyBorder="1" applyAlignment="1" applyProtection="1">
      <alignment vertical="center" wrapText="1"/>
      <protection/>
    </xf>
    <xf numFmtId="0" fontId="0" fillId="0" borderId="226" xfId="0" applyBorder="1" applyAlignment="1" applyProtection="1">
      <alignment wrapText="1"/>
      <protection/>
    </xf>
    <xf numFmtId="0" fontId="0" fillId="0" borderId="274" xfId="0" applyBorder="1" applyAlignment="1" applyProtection="1">
      <alignment wrapText="1"/>
      <protection/>
    </xf>
    <xf numFmtId="0" fontId="84" fillId="33" borderId="137" xfId="0" applyFont="1" applyFill="1" applyBorder="1" applyAlignment="1" applyProtection="1">
      <alignment horizontal="center"/>
      <protection/>
    </xf>
    <xf numFmtId="0" fontId="85" fillId="33" borderId="191" xfId="0" applyFont="1" applyFill="1" applyBorder="1" applyAlignment="1" applyProtection="1">
      <alignment horizontal="center"/>
      <protection/>
    </xf>
    <xf numFmtId="0" fontId="82" fillId="33" borderId="136" xfId="0" applyFont="1" applyFill="1" applyBorder="1" applyAlignment="1" applyProtection="1">
      <alignment horizontal="center"/>
      <protection/>
    </xf>
    <xf numFmtId="0" fontId="0" fillId="33" borderId="224" xfId="0" applyFill="1" applyBorder="1" applyAlignment="1" applyProtection="1">
      <alignment horizontal="center"/>
      <protection/>
    </xf>
    <xf numFmtId="0" fontId="6" fillId="0" borderId="194" xfId="0" applyFont="1" applyBorder="1" applyAlignment="1" applyProtection="1">
      <alignment vertical="center"/>
      <protection/>
    </xf>
    <xf numFmtId="0" fontId="0" fillId="0" borderId="10" xfId="0" applyBorder="1" applyAlignment="1" applyProtection="1">
      <alignment vertical="center"/>
      <protection/>
    </xf>
    <xf numFmtId="0" fontId="6" fillId="0" borderId="221" xfId="0" applyFont="1" applyBorder="1" applyAlignment="1" applyProtection="1">
      <alignment vertical="center"/>
      <protection/>
    </xf>
    <xf numFmtId="0" fontId="6" fillId="0" borderId="275" xfId="0" applyFont="1" applyBorder="1" applyAlignment="1" applyProtection="1">
      <alignment vertical="center"/>
      <protection/>
    </xf>
    <xf numFmtId="0" fontId="6" fillId="0" borderId="276" xfId="0" applyFont="1" applyBorder="1" applyAlignment="1" applyProtection="1">
      <alignment vertical="center"/>
      <protection/>
    </xf>
    <xf numFmtId="0" fontId="4" fillId="0" borderId="136" xfId="0" applyFont="1" applyBorder="1" applyAlignment="1" applyProtection="1">
      <alignment vertical="center"/>
      <protection/>
    </xf>
    <xf numFmtId="0" fontId="4" fillId="0" borderId="242" xfId="0" applyFont="1" applyBorder="1" applyAlignment="1" applyProtection="1">
      <alignment vertical="center"/>
      <protection/>
    </xf>
    <xf numFmtId="0" fontId="0" fillId="0" borderId="63" xfId="0" applyBorder="1" applyAlignment="1" applyProtection="1">
      <alignment vertical="center"/>
      <protection/>
    </xf>
    <xf numFmtId="0" fontId="0" fillId="0" borderId="184" xfId="0" applyBorder="1" applyAlignment="1" applyProtection="1">
      <alignment vertical="center"/>
      <protection/>
    </xf>
    <xf numFmtId="0" fontId="0" fillId="0" borderId="10" xfId="0" applyBorder="1" applyAlignment="1" applyProtection="1">
      <alignment/>
      <protection/>
    </xf>
    <xf numFmtId="0" fontId="78" fillId="33" borderId="105" xfId="0" applyFont="1" applyFill="1" applyBorder="1" applyAlignment="1" applyProtection="1">
      <alignment horizontal="center" vertical="center" wrapText="1"/>
      <protection/>
    </xf>
    <xf numFmtId="0" fontId="0" fillId="0" borderId="263" xfId="0" applyBorder="1" applyAlignment="1" applyProtection="1">
      <alignment horizontal="center" vertical="center"/>
      <protection/>
    </xf>
    <xf numFmtId="220" fontId="6" fillId="35" borderId="197" xfId="0" applyNumberFormat="1" applyFont="1" applyFill="1" applyBorder="1" applyAlignment="1" applyProtection="1">
      <alignment horizontal="right" vertical="center"/>
      <protection/>
    </xf>
    <xf numFmtId="220" fontId="6" fillId="35" borderId="259" xfId="0" applyNumberFormat="1" applyFont="1" applyFill="1" applyBorder="1" applyAlignment="1" applyProtection="1">
      <alignment horizontal="right" vertical="center"/>
      <protection/>
    </xf>
    <xf numFmtId="0" fontId="6" fillId="0" borderId="136" xfId="0" applyFont="1" applyBorder="1" applyAlignment="1" applyProtection="1">
      <alignment wrapText="1"/>
      <protection/>
    </xf>
    <xf numFmtId="0" fontId="6" fillId="0" borderId="0" xfId="0" applyFont="1" applyBorder="1" applyAlignment="1" applyProtection="1">
      <alignment wrapText="1"/>
      <protection/>
    </xf>
    <xf numFmtId="0" fontId="0" fillId="0" borderId="239" xfId="0" applyBorder="1" applyAlignment="1" applyProtection="1">
      <alignment/>
      <protection/>
    </xf>
    <xf numFmtId="0" fontId="0" fillId="0" borderId="83" xfId="0" applyBorder="1" applyAlignment="1" applyProtection="1">
      <alignment/>
      <protection/>
    </xf>
    <xf numFmtId="0" fontId="0" fillId="0" borderId="15" xfId="0" applyBorder="1" applyAlignment="1" applyProtection="1">
      <alignment/>
      <protection/>
    </xf>
    <xf numFmtId="215" fontId="4" fillId="35" borderId="151" xfId="0" applyNumberFormat="1" applyFont="1" applyFill="1" applyBorder="1" applyAlignment="1" applyProtection="1">
      <alignment horizontal="center" vertical="center"/>
      <protection/>
    </xf>
    <xf numFmtId="0" fontId="0" fillId="0" borderId="226" xfId="0" applyBorder="1" applyAlignment="1" applyProtection="1">
      <alignment horizontal="center" vertical="center"/>
      <protection/>
    </xf>
    <xf numFmtId="0" fontId="0" fillId="0" borderId="142" xfId="0" applyBorder="1" applyAlignment="1" applyProtection="1">
      <alignment horizontal="center" vertical="center"/>
      <protection/>
    </xf>
    <xf numFmtId="0" fontId="0" fillId="0" borderId="300" xfId="0" applyBorder="1" applyAlignment="1" applyProtection="1">
      <alignment horizontal="left"/>
      <protection/>
    </xf>
    <xf numFmtId="0" fontId="0" fillId="0" borderId="297" xfId="0" applyBorder="1" applyAlignment="1" applyProtection="1">
      <alignment horizontal="left"/>
      <protection/>
    </xf>
    <xf numFmtId="2" fontId="6" fillId="0" borderId="221" xfId="0" applyNumberFormat="1" applyFont="1" applyBorder="1" applyAlignment="1" applyProtection="1">
      <alignment horizontal="left" wrapText="1"/>
      <protection/>
    </xf>
    <xf numFmtId="2" fontId="6" fillId="0" borderId="275" xfId="0" applyNumberFormat="1" applyFont="1" applyBorder="1" applyAlignment="1" applyProtection="1">
      <alignment horizontal="left" wrapText="1"/>
      <protection/>
    </xf>
    <xf numFmtId="0" fontId="6" fillId="0" borderId="275" xfId="0" applyFont="1" applyBorder="1" applyAlignment="1" applyProtection="1">
      <alignment wrapText="1"/>
      <protection/>
    </xf>
    <xf numFmtId="0" fontId="10" fillId="0" borderId="12" xfId="0" applyFont="1" applyBorder="1" applyAlignment="1" applyProtection="1">
      <alignment horizontal="left" vertical="center"/>
      <protection/>
    </xf>
    <xf numFmtId="0" fontId="10" fillId="0" borderId="295" xfId="0" applyFont="1" applyBorder="1" applyAlignment="1" applyProtection="1">
      <alignment horizontal="left" vertical="center"/>
      <protection/>
    </xf>
    <xf numFmtId="0" fontId="6" fillId="0" borderId="235" xfId="0" applyFont="1" applyBorder="1" applyAlignment="1" applyProtection="1">
      <alignment wrapText="1"/>
      <protection/>
    </xf>
    <xf numFmtId="0" fontId="6" fillId="0" borderId="60" xfId="0" applyFont="1" applyBorder="1" applyAlignment="1" applyProtection="1">
      <alignment/>
      <protection/>
    </xf>
    <xf numFmtId="0" fontId="6" fillId="0" borderId="301" xfId="0" applyFont="1" applyBorder="1" applyAlignment="1" applyProtection="1">
      <alignment/>
      <protection/>
    </xf>
    <xf numFmtId="0" fontId="4" fillId="0" borderId="137" xfId="0" applyFont="1" applyBorder="1" applyAlignment="1" applyProtection="1">
      <alignment vertical="center"/>
      <protection/>
    </xf>
    <xf numFmtId="0" fontId="0" fillId="0" borderId="152" xfId="0" applyBorder="1" applyAlignment="1" applyProtection="1">
      <alignment vertical="center"/>
      <protection/>
    </xf>
    <xf numFmtId="0" fontId="0" fillId="0" borderId="191" xfId="0" applyBorder="1" applyAlignment="1" applyProtection="1">
      <alignment vertical="center"/>
      <protection/>
    </xf>
    <xf numFmtId="0" fontId="6" fillId="0" borderId="136" xfId="0" applyFont="1" applyBorder="1" applyAlignment="1" applyProtection="1">
      <alignment horizontal="right" vertical="center"/>
      <protection/>
    </xf>
    <xf numFmtId="0" fontId="0" fillId="0" borderId="184" xfId="0" applyBorder="1" applyAlignment="1" applyProtection="1">
      <alignment horizontal="right" vertical="center"/>
      <protection/>
    </xf>
    <xf numFmtId="0" fontId="0" fillId="0" borderId="226" xfId="0" applyBorder="1" applyAlignment="1" applyProtection="1">
      <alignment vertical="center"/>
      <protection/>
    </xf>
    <xf numFmtId="0" fontId="0" fillId="0" borderId="274" xfId="0" applyBorder="1" applyAlignment="1" applyProtection="1">
      <alignment vertical="center"/>
      <protection/>
    </xf>
    <xf numFmtId="0" fontId="6" fillId="0" borderId="0" xfId="0" applyFont="1" applyAlignment="1" applyProtection="1">
      <alignment wrapText="1"/>
      <protection/>
    </xf>
    <xf numFmtId="0" fontId="6" fillId="37" borderId="298" xfId="0" applyFont="1" applyFill="1" applyBorder="1" applyAlignment="1" applyProtection="1">
      <alignment/>
      <protection locked="0"/>
    </xf>
    <xf numFmtId="0" fontId="6" fillId="37" borderId="281" xfId="0" applyFont="1" applyFill="1" applyBorder="1" applyAlignment="1" applyProtection="1">
      <alignment/>
      <protection locked="0"/>
    </xf>
    <xf numFmtId="0" fontId="6" fillId="37" borderId="302" xfId="0" applyFont="1" applyFill="1" applyBorder="1" applyAlignment="1" applyProtection="1">
      <alignment/>
      <protection locked="0"/>
    </xf>
    <xf numFmtId="0" fontId="6" fillId="0" borderId="136" xfId="0" applyFont="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275" xfId="0" applyBorder="1" applyAlignment="1" applyProtection="1">
      <alignment vertical="center"/>
      <protection/>
    </xf>
    <xf numFmtId="0" fontId="0" fillId="0" borderId="303" xfId="0" applyBorder="1" applyAlignment="1" applyProtection="1">
      <alignment vertical="center"/>
      <protection/>
    </xf>
    <xf numFmtId="0" fontId="6" fillId="0" borderId="239" xfId="0" applyFont="1" applyBorder="1" applyAlignment="1" applyProtection="1" quotePrefix="1">
      <alignment wrapText="1"/>
      <protection/>
    </xf>
    <xf numFmtId="0" fontId="6" fillId="0" borderId="83" xfId="0" applyFont="1" applyBorder="1" applyAlignment="1" applyProtection="1">
      <alignment wrapText="1"/>
      <protection/>
    </xf>
    <xf numFmtId="0" fontId="6" fillId="0" borderId="237" xfId="0" applyFont="1" applyBorder="1" applyAlignment="1" applyProtection="1">
      <alignment wrapText="1"/>
      <protection/>
    </xf>
    <xf numFmtId="0" fontId="0" fillId="0" borderId="0" xfId="0" applyBorder="1" applyAlignment="1" applyProtection="1">
      <alignment wrapText="1"/>
      <protection/>
    </xf>
    <xf numFmtId="0" fontId="0" fillId="0" borderId="191" xfId="0" applyBorder="1" applyAlignment="1" applyProtection="1">
      <alignment horizontal="center"/>
      <protection/>
    </xf>
    <xf numFmtId="0" fontId="6" fillId="0" borderId="184" xfId="0" applyFont="1" applyBorder="1" applyAlignment="1" applyProtection="1">
      <alignment horizontal="right" vertical="center"/>
      <protection/>
    </xf>
    <xf numFmtId="0" fontId="6" fillId="0" borderId="136" xfId="0" applyFont="1" applyBorder="1" applyAlignment="1" applyProtection="1">
      <alignment vertical="center" wrapText="1"/>
      <protection/>
    </xf>
    <xf numFmtId="0" fontId="6" fillId="0" borderId="184" xfId="0" applyFont="1" applyBorder="1" applyAlignment="1" applyProtection="1">
      <alignment vertical="center" wrapText="1"/>
      <protection/>
    </xf>
    <xf numFmtId="0" fontId="6" fillId="0" borderId="239" xfId="0" applyFont="1" applyBorder="1" applyAlignment="1" applyProtection="1">
      <alignment vertical="center"/>
      <protection/>
    </xf>
    <xf numFmtId="0" fontId="0" fillId="0" borderId="83" xfId="0" applyBorder="1" applyAlignment="1" applyProtection="1">
      <alignment vertical="center"/>
      <protection/>
    </xf>
    <xf numFmtId="0" fontId="0" fillId="0" borderId="237" xfId="0" applyBorder="1" applyAlignment="1" applyProtection="1">
      <alignment vertical="center"/>
      <protection/>
    </xf>
    <xf numFmtId="215" fontId="4" fillId="35" borderId="226" xfId="0" applyNumberFormat="1" applyFont="1" applyFill="1" applyBorder="1" applyAlignment="1" applyProtection="1">
      <alignment horizontal="center" vertical="center"/>
      <protection/>
    </xf>
    <xf numFmtId="0" fontId="19" fillId="0" borderId="304" xfId="0" applyFont="1" applyBorder="1" applyAlignment="1" applyProtection="1">
      <alignment vertical="center" wrapText="1"/>
      <protection/>
    </xf>
    <xf numFmtId="0" fontId="19" fillId="0" borderId="193" xfId="0" applyFont="1" applyBorder="1" applyAlignment="1" applyProtection="1">
      <alignment vertical="center" wrapText="1"/>
      <protection/>
    </xf>
    <xf numFmtId="0" fontId="19" fillId="0" borderId="17" xfId="0" applyFont="1" applyBorder="1" applyAlignment="1" applyProtection="1">
      <alignment vertical="center" wrapText="1"/>
      <protection/>
    </xf>
    <xf numFmtId="0" fontId="0" fillId="0" borderId="241" xfId="0" applyBorder="1" applyAlignment="1" applyProtection="1">
      <alignment/>
      <protection/>
    </xf>
    <xf numFmtId="0" fontId="0" fillId="0" borderId="157" xfId="0" applyBorder="1" applyAlignment="1" applyProtection="1">
      <alignment/>
      <protection/>
    </xf>
    <xf numFmtId="0" fontId="101" fillId="34" borderId="240" xfId="0" applyFont="1" applyFill="1" applyBorder="1" applyAlignment="1" applyProtection="1">
      <alignment vertical="top" wrapText="1"/>
      <protection/>
    </xf>
    <xf numFmtId="0" fontId="101" fillId="34" borderId="12" xfId="0" applyFont="1" applyFill="1" applyBorder="1" applyAlignment="1" applyProtection="1">
      <alignment vertical="top" wrapText="1"/>
      <protection/>
    </xf>
    <xf numFmtId="0" fontId="101" fillId="34" borderId="305" xfId="0" applyFont="1" applyFill="1" applyBorder="1" applyAlignment="1" applyProtection="1">
      <alignment vertical="top" wrapText="1"/>
      <protection/>
    </xf>
    <xf numFmtId="0" fontId="6" fillId="0" borderId="235" xfId="0" applyFont="1" applyBorder="1" applyAlignment="1" applyProtection="1">
      <alignment horizontal="left" wrapText="1"/>
      <protection/>
    </xf>
    <xf numFmtId="0" fontId="0" fillId="0" borderId="60" xfId="0" applyFont="1" applyBorder="1" applyAlignment="1" applyProtection="1">
      <alignment horizontal="left" wrapText="1"/>
      <protection/>
    </xf>
    <xf numFmtId="0" fontId="0" fillId="0" borderId="301" xfId="0" applyFont="1" applyBorder="1" applyAlignment="1" applyProtection="1">
      <alignment wrapText="1"/>
      <protection/>
    </xf>
    <xf numFmtId="0" fontId="19" fillId="0" borderId="136" xfId="0" applyFont="1" applyBorder="1" applyAlignment="1" applyProtection="1">
      <alignment horizontal="right" vertical="top" wrapText="1"/>
      <protection/>
    </xf>
    <xf numFmtId="0" fontId="19" fillId="0" borderId="0" xfId="0" applyFont="1" applyBorder="1" applyAlignment="1" applyProtection="1">
      <alignment horizontal="right" wrapText="1"/>
      <protection/>
    </xf>
    <xf numFmtId="0" fontId="19" fillId="0" borderId="19" xfId="0" applyFont="1" applyBorder="1" applyAlignment="1" applyProtection="1">
      <alignment horizontal="right" wrapText="1"/>
      <protection/>
    </xf>
    <xf numFmtId="0" fontId="6" fillId="0" borderId="0" xfId="0" applyFont="1" applyAlignment="1" applyProtection="1">
      <alignment horizontal="left" wrapText="1"/>
      <protection/>
    </xf>
    <xf numFmtId="0" fontId="0" fillId="0" borderId="0" xfId="0" applyAlignment="1" applyProtection="1">
      <alignment wrapText="1"/>
      <protection/>
    </xf>
    <xf numFmtId="0" fontId="6" fillId="0" borderId="0" xfId="0" applyFont="1" applyBorder="1" applyAlignment="1" applyProtection="1">
      <alignment horizontal="left" vertical="top" wrapText="1"/>
      <protection/>
    </xf>
    <xf numFmtId="0" fontId="6" fillId="0" borderId="136" xfId="0" applyFont="1" applyBorder="1" applyAlignment="1" applyProtection="1">
      <alignment/>
      <protection/>
    </xf>
    <xf numFmtId="0" fontId="26" fillId="35" borderId="304" xfId="0" applyFont="1" applyFill="1" applyBorder="1" applyAlignment="1" applyProtection="1">
      <alignment horizontal="center" vertical="center"/>
      <protection/>
    </xf>
    <xf numFmtId="0" fontId="92" fillId="0" borderId="0" xfId="0" applyFont="1" applyFill="1" applyBorder="1" applyAlignment="1" applyProtection="1">
      <alignment horizontal="center" vertical="top" wrapText="1"/>
      <protection/>
    </xf>
    <xf numFmtId="0" fontId="0" fillId="0" borderId="184" xfId="0" applyBorder="1" applyAlignment="1">
      <alignment vertical="top" wrapText="1"/>
    </xf>
    <xf numFmtId="0" fontId="0" fillId="0" borderId="136" xfId="0" applyFont="1" applyBorder="1" applyAlignment="1" applyProtection="1">
      <alignment vertical="center" wrapText="1"/>
      <protection/>
    </xf>
    <xf numFmtId="0" fontId="0" fillId="0" borderId="184"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0" fillId="0" borderId="0" xfId="0" applyFont="1" applyBorder="1" applyAlignment="1" applyProtection="1">
      <alignment/>
      <protection/>
    </xf>
    <xf numFmtId="0" fontId="0" fillId="0" borderId="184" xfId="0" applyFont="1" applyBorder="1" applyAlignment="1" applyProtection="1">
      <alignment/>
      <protection/>
    </xf>
    <xf numFmtId="0" fontId="53" fillId="0" borderId="275" xfId="0" applyFont="1" applyBorder="1" applyAlignment="1" applyProtection="1">
      <alignment horizontal="center" vertical="center" wrapText="1"/>
      <protection/>
    </xf>
    <xf numFmtId="0" fontId="53" fillId="0" borderId="303" xfId="0" applyFont="1" applyBorder="1" applyAlignment="1">
      <alignment horizontal="center" vertical="center" wrapText="1"/>
    </xf>
    <xf numFmtId="0" fontId="19" fillId="0" borderId="136" xfId="0" applyFont="1" applyBorder="1" applyAlignment="1" applyProtection="1">
      <alignment horizontal="left" vertical="center"/>
      <protection/>
    </xf>
    <xf numFmtId="0" fontId="0" fillId="0" borderId="240"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10" fillId="0" borderId="152" xfId="0" applyFont="1" applyBorder="1" applyAlignment="1" applyProtection="1">
      <alignment vertical="top"/>
      <protection/>
    </xf>
    <xf numFmtId="0" fontId="0" fillId="0" borderId="152" xfId="0" applyBorder="1" applyAlignment="1" applyProtection="1">
      <alignment/>
      <protection/>
    </xf>
    <xf numFmtId="0" fontId="4" fillId="35" borderId="105" xfId="0" applyFont="1" applyFill="1" applyBorder="1" applyAlignment="1" applyProtection="1">
      <alignment vertical="center" wrapText="1"/>
      <protection/>
    </xf>
    <xf numFmtId="0" fontId="4" fillId="35" borderId="106" xfId="0" applyFont="1" applyFill="1" applyBorder="1" applyAlignment="1" applyProtection="1">
      <alignment vertical="center" wrapText="1"/>
      <protection/>
    </xf>
    <xf numFmtId="0" fontId="4" fillId="35" borderId="263" xfId="0" applyFont="1" applyFill="1" applyBorder="1" applyAlignment="1" applyProtection="1">
      <alignment vertical="center" wrapText="1"/>
      <protection/>
    </xf>
    <xf numFmtId="0" fontId="36" fillId="0" borderId="184" xfId="0" applyFont="1" applyBorder="1" applyAlignment="1" applyProtection="1">
      <alignment horizontal="center" vertical="center"/>
      <protection/>
    </xf>
    <xf numFmtId="171" fontId="92" fillId="0" borderId="184" xfId="0" applyNumberFormat="1" applyFont="1" applyFill="1" applyBorder="1" applyAlignment="1" applyProtection="1">
      <alignment horizontal="center" vertical="center"/>
      <protection/>
    </xf>
    <xf numFmtId="0" fontId="0" fillId="0" borderId="303" xfId="0" applyFill="1" applyBorder="1" applyAlignment="1" applyProtection="1">
      <alignment/>
      <protection/>
    </xf>
    <xf numFmtId="0" fontId="36" fillId="0" borderId="0" xfId="0" applyFont="1" applyAlignment="1">
      <alignment/>
    </xf>
    <xf numFmtId="0" fontId="0" fillId="0" borderId="0" xfId="0" applyAlignment="1">
      <alignment/>
    </xf>
    <xf numFmtId="0" fontId="25" fillId="0" borderId="0" xfId="0" applyFont="1" applyAlignment="1">
      <alignment vertical="top" wrapText="1"/>
    </xf>
    <xf numFmtId="0" fontId="36" fillId="0" borderId="0" xfId="0" applyFont="1" applyAlignment="1" applyProtection="1">
      <alignment vertical="center"/>
      <protection locked="0"/>
    </xf>
    <xf numFmtId="0" fontId="36" fillId="0" borderId="0" xfId="0" applyFont="1" applyAlignment="1" applyProtection="1">
      <alignment vertical="top"/>
      <protection locked="0"/>
    </xf>
    <xf numFmtId="0" fontId="25" fillId="0" borderId="0" xfId="0" applyFont="1" applyAlignment="1">
      <alignment horizontal="left" vertical="top" wrapText="1"/>
    </xf>
    <xf numFmtId="0" fontId="25"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27" fillId="0" borderId="12" xfId="0" applyFont="1" applyBorder="1" applyAlignment="1">
      <alignment vertical="center"/>
    </xf>
    <xf numFmtId="0" fontId="0" fillId="0" borderId="12" xfId="0" applyBorder="1" applyAlignment="1">
      <alignment vertical="center"/>
    </xf>
    <xf numFmtId="0" fontId="25" fillId="36" borderId="10" xfId="0" applyFont="1" applyFill="1" applyBorder="1" applyAlignment="1" applyProtection="1">
      <alignment vertical="center" wrapText="1"/>
      <protection locked="0"/>
    </xf>
    <xf numFmtId="192" fontId="21" fillId="33" borderId="0" xfId="0" applyNumberFormat="1" applyFont="1" applyFill="1" applyAlignment="1" applyProtection="1">
      <alignment horizontal="center"/>
      <protection/>
    </xf>
    <xf numFmtId="192" fontId="0" fillId="0" borderId="0" xfId="0" applyNumberFormat="1" applyAlignment="1" applyProtection="1">
      <alignment horizontal="center"/>
      <protection/>
    </xf>
    <xf numFmtId="179" fontId="0" fillId="0" borderId="0" xfId="0" applyNumberFormat="1" applyFont="1" applyBorder="1" applyAlignment="1" applyProtection="1">
      <alignment horizontal="center"/>
      <protection/>
    </xf>
    <xf numFmtId="0" fontId="0" fillId="0" borderId="184" xfId="0" applyBorder="1" applyAlignment="1" applyProtection="1">
      <alignment horizontal="center"/>
      <protection/>
    </xf>
    <xf numFmtId="178" fontId="0" fillId="0" borderId="0" xfId="0" applyNumberFormat="1" applyAlignment="1" applyProtection="1">
      <alignment horizontal="center"/>
      <protection/>
    </xf>
    <xf numFmtId="175" fontId="0" fillId="35" borderId="166" xfId="0" applyNumberFormat="1" applyFill="1" applyBorder="1" applyAlignment="1" applyProtection="1">
      <alignment horizontal="center"/>
      <protection/>
    </xf>
    <xf numFmtId="0" fontId="0" fillId="0" borderId="45" xfId="0" applyBorder="1" applyAlignment="1" applyProtection="1">
      <alignment horizontal="center"/>
      <protection/>
    </xf>
    <xf numFmtId="190" fontId="16" fillId="0" borderId="306" xfId="0" applyNumberFormat="1" applyFont="1" applyBorder="1" applyAlignment="1" applyProtection="1">
      <alignment horizontal="center" vertical="center"/>
      <protection/>
    </xf>
    <xf numFmtId="0" fontId="19" fillId="0" borderId="307" xfId="0" applyFont="1" applyBorder="1" applyAlignment="1" applyProtection="1">
      <alignment horizontal="center" vertical="center"/>
      <protection/>
    </xf>
    <xf numFmtId="0" fontId="19" fillId="0" borderId="308" xfId="0" applyFont="1" applyBorder="1" applyAlignment="1" applyProtection="1">
      <alignment horizontal="center" vertical="center"/>
      <protection/>
    </xf>
    <xf numFmtId="0" fontId="6" fillId="0" borderId="0" xfId="0" applyFont="1" applyBorder="1" applyAlignment="1" applyProtection="1">
      <alignment horizontal="left"/>
      <protection/>
    </xf>
    <xf numFmtId="0" fontId="6" fillId="0" borderId="0" xfId="0" applyFont="1" applyAlignment="1" applyProtection="1">
      <alignment/>
      <protection/>
    </xf>
    <xf numFmtId="0" fontId="6" fillId="0" borderId="0" xfId="0" applyFont="1" applyBorder="1" applyAlignment="1" applyProtection="1">
      <alignment/>
      <protection/>
    </xf>
    <xf numFmtId="0" fontId="6" fillId="0" borderId="152" xfId="0" applyFont="1" applyBorder="1" applyAlignment="1" applyProtection="1">
      <alignment horizontal="left"/>
      <protection/>
    </xf>
    <xf numFmtId="189" fontId="19" fillId="0" borderId="0" xfId="0" applyNumberFormat="1" applyFont="1" applyAlignment="1" applyProtection="1">
      <alignment horizontal="left" vertical="center"/>
      <protection/>
    </xf>
    <xf numFmtId="0" fontId="0" fillId="0" borderId="0" xfId="0" applyAlignment="1" applyProtection="1">
      <alignment horizontal="left" vertical="center"/>
      <protection/>
    </xf>
    <xf numFmtId="0" fontId="4" fillId="35" borderId="16" xfId="0" applyFont="1" applyFill="1" applyBorder="1" applyAlignment="1" applyProtection="1">
      <alignment horizontal="left" vertical="center" wrapText="1"/>
      <protection/>
    </xf>
    <xf numFmtId="0" fontId="6" fillId="35" borderId="193" xfId="0" applyFont="1" applyFill="1" applyBorder="1" applyAlignment="1">
      <alignment horizontal="left" vertical="center" wrapText="1"/>
    </xf>
    <xf numFmtId="0" fontId="26" fillId="33" borderId="166" xfId="0" applyFont="1" applyFill="1" applyBorder="1" applyAlignment="1" applyProtection="1">
      <alignment horizontal="center"/>
      <protection/>
    </xf>
    <xf numFmtId="0" fontId="27" fillId="33" borderId="281" xfId="0" applyFont="1" applyFill="1" applyBorder="1" applyAlignment="1" applyProtection="1">
      <alignment horizontal="center"/>
      <protection/>
    </xf>
    <xf numFmtId="0" fontId="27" fillId="0" borderId="45" xfId="0" applyFont="1" applyBorder="1" applyAlignment="1" applyProtection="1">
      <alignment/>
      <protection/>
    </xf>
    <xf numFmtId="0" fontId="5" fillId="33" borderId="20" xfId="0" applyFont="1" applyFill="1" applyBorder="1" applyAlignment="1" applyProtection="1">
      <alignment horizontal="left" vertical="center" wrapText="1"/>
      <protection/>
    </xf>
    <xf numFmtId="0" fontId="0" fillId="0" borderId="83" xfId="0" applyBorder="1" applyAlignment="1" applyProtection="1">
      <alignment wrapText="1"/>
      <protection/>
    </xf>
    <xf numFmtId="173" fontId="83" fillId="33" borderId="83" xfId="42" applyNumberFormat="1" applyFont="1" applyFill="1" applyBorder="1" applyAlignment="1" applyProtection="1">
      <alignment horizontal="right" vertical="top" wrapText="1"/>
      <protection/>
    </xf>
    <xf numFmtId="0" fontId="0" fillId="0" borderId="83" xfId="0" applyBorder="1" applyAlignment="1" applyProtection="1">
      <alignment horizontal="right" vertical="top" wrapText="1"/>
      <protection/>
    </xf>
    <xf numFmtId="0" fontId="23" fillId="33" borderId="0" xfId="0" applyFont="1" applyFill="1" applyBorder="1" applyAlignment="1" applyProtection="1">
      <alignment horizontal="left"/>
      <protection/>
    </xf>
    <xf numFmtId="0" fontId="25" fillId="0" borderId="0" xfId="0" applyFont="1" applyAlignment="1" applyProtection="1">
      <alignment/>
      <protection/>
    </xf>
    <xf numFmtId="0" fontId="25" fillId="0" borderId="19" xfId="0" applyFont="1" applyBorder="1" applyAlignment="1" applyProtection="1">
      <alignment/>
      <protection/>
    </xf>
    <xf numFmtId="176" fontId="0" fillId="35" borderId="11" xfId="0" applyNumberForma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4" fillId="0" borderId="166" xfId="0" applyFont="1" applyBorder="1" applyAlignment="1" applyProtection="1">
      <alignment horizontal="left" vertical="center" wrapText="1"/>
      <protection/>
    </xf>
    <xf numFmtId="0" fontId="0" fillId="0" borderId="281" xfId="0" applyBorder="1" applyAlignment="1" applyProtection="1">
      <alignment wrapText="1"/>
      <protection/>
    </xf>
    <xf numFmtId="0" fontId="0" fillId="0" borderId="45" xfId="0" applyBorder="1" applyAlignment="1" applyProtection="1">
      <alignment wrapText="1"/>
      <protection/>
    </xf>
    <xf numFmtId="0" fontId="6" fillId="42" borderId="105" xfId="0" applyFont="1" applyFill="1" applyBorder="1" applyAlignment="1" applyProtection="1">
      <alignment horizontal="left" vertical="center" wrapText="1"/>
      <protection/>
    </xf>
    <xf numFmtId="0" fontId="0" fillId="42" borderId="106" xfId="0" applyFill="1" applyBorder="1" applyAlignment="1">
      <alignment vertical="center" wrapText="1"/>
    </xf>
    <xf numFmtId="0" fontId="0" fillId="42" borderId="263" xfId="0" applyFill="1" applyBorder="1" applyAlignment="1">
      <alignment vertical="center" wrapText="1"/>
    </xf>
    <xf numFmtId="0" fontId="4" fillId="35" borderId="10" xfId="0" applyFont="1" applyFill="1" applyBorder="1" applyAlignment="1" applyProtection="1">
      <alignment horizontal="left" vertical="center" wrapText="1"/>
      <protection/>
    </xf>
    <xf numFmtId="0" fontId="0" fillId="0" borderId="10" xfId="0" applyBorder="1" applyAlignment="1">
      <alignment wrapText="1"/>
    </xf>
    <xf numFmtId="0" fontId="0" fillId="0" borderId="247" xfId="0" applyBorder="1" applyAlignment="1" applyProtection="1">
      <alignment horizontal="left" wrapText="1"/>
      <protection/>
    </xf>
    <xf numFmtId="0" fontId="0" fillId="0" borderId="19" xfId="0" applyBorder="1" applyAlignment="1" applyProtection="1">
      <alignment wrapText="1"/>
      <protection/>
    </xf>
    <xf numFmtId="0" fontId="0" fillId="0" borderId="247" xfId="0" applyBorder="1" applyAlignment="1" applyProtection="1">
      <alignment horizontal="left"/>
      <protection/>
    </xf>
    <xf numFmtId="0" fontId="0" fillId="0" borderId="216" xfId="0" applyBorder="1" applyAlignment="1" applyProtection="1">
      <alignment/>
      <protection/>
    </xf>
    <xf numFmtId="0" fontId="125" fillId="0" borderId="0" xfId="0" applyFont="1" applyAlignment="1" applyProtection="1">
      <alignment vertical="center" wrapText="1"/>
      <protection locked="0"/>
    </xf>
    <xf numFmtId="0" fontId="124" fillId="0" borderId="0" xfId="0" applyFont="1" applyAlignment="1" applyProtection="1">
      <alignment wrapText="1"/>
      <protection locked="0"/>
    </xf>
    <xf numFmtId="0" fontId="55" fillId="0" borderId="0" xfId="0" applyFont="1" applyAlignment="1">
      <alignment vertical="center" wrapText="1"/>
    </xf>
    <xf numFmtId="0" fontId="0" fillId="0" borderId="0" xfId="0" applyAlignment="1">
      <alignment wrapText="1"/>
    </xf>
    <xf numFmtId="0" fontId="37" fillId="33" borderId="105" xfId="0" applyFont="1" applyFill="1" applyBorder="1" applyAlignment="1" applyProtection="1">
      <alignment vertical="center" wrapText="1"/>
      <protection/>
    </xf>
    <xf numFmtId="0" fontId="0" fillId="0" borderId="106" xfId="0" applyBorder="1" applyAlignment="1" applyProtection="1">
      <alignment vertical="center" wrapText="1"/>
      <protection/>
    </xf>
    <xf numFmtId="0" fontId="0" fillId="0" borderId="263" xfId="0" applyBorder="1" applyAlignment="1" applyProtection="1">
      <alignment vertical="center" wrapText="1"/>
      <protection/>
    </xf>
    <xf numFmtId="185" fontId="1" fillId="33" borderId="133" xfId="0" applyNumberFormat="1" applyFont="1" applyFill="1" applyBorder="1" applyAlignment="1" applyProtection="1">
      <alignment horizontal="center" vertical="center"/>
      <protection/>
    </xf>
    <xf numFmtId="0" fontId="1" fillId="33" borderId="134" xfId="0" applyFont="1"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81" xfId="0" applyFill="1" applyBorder="1" applyAlignment="1" applyProtection="1">
      <alignment horizontal="center" vertical="center"/>
      <protection/>
    </xf>
    <xf numFmtId="0" fontId="125" fillId="0" borderId="0" xfId="0" applyFont="1" applyAlignment="1">
      <alignment vertical="center" wrapText="1"/>
    </xf>
    <xf numFmtId="0" fontId="124" fillId="0" borderId="0" xfId="0" applyFont="1" applyAlignment="1">
      <alignment wrapText="1"/>
    </xf>
    <xf numFmtId="0" fontId="1" fillId="33" borderId="0" xfId="0" applyFont="1" applyFill="1" applyBorder="1" applyAlignment="1" applyProtection="1">
      <alignment horizontal="left"/>
      <protection/>
    </xf>
    <xf numFmtId="0" fontId="0" fillId="0" borderId="19" xfId="0" applyBorder="1" applyAlignment="1" applyProtection="1">
      <alignment/>
      <protection/>
    </xf>
    <xf numFmtId="169" fontId="28" fillId="35" borderId="193" xfId="0" applyNumberFormat="1" applyFont="1" applyFill="1" applyBorder="1" applyAlignment="1" applyProtection="1">
      <alignment horizontal="center" vertical="center"/>
      <protection/>
    </xf>
    <xf numFmtId="0" fontId="29" fillId="0" borderId="17" xfId="0" applyFont="1" applyBorder="1" applyAlignment="1" applyProtection="1">
      <alignment horizontal="center" vertical="center"/>
      <protection/>
    </xf>
    <xf numFmtId="169" fontId="6" fillId="0" borderId="20" xfId="0" applyNumberFormat="1" applyFont="1" applyFill="1" applyBorder="1" applyAlignment="1" applyProtection="1">
      <alignment horizontal="center" vertical="center"/>
      <protection/>
    </xf>
    <xf numFmtId="169" fontId="0" fillId="0" borderId="81" xfId="0" applyNumberFormat="1" applyBorder="1" applyAlignment="1" applyProtection="1">
      <alignment horizontal="center" vertical="center"/>
      <protection/>
    </xf>
    <xf numFmtId="0" fontId="26" fillId="0" borderId="0" xfId="0" applyFont="1" applyBorder="1" applyAlignment="1" applyProtection="1">
      <alignment horizontal="left" vertical="center" wrapText="1"/>
      <protection/>
    </xf>
    <xf numFmtId="0" fontId="27" fillId="0" borderId="0" xfId="0" applyFont="1" applyAlignment="1">
      <alignment vertical="center" wrapText="1"/>
    </xf>
    <xf numFmtId="232" fontId="102" fillId="34" borderId="166" xfId="0" applyNumberFormat="1" applyFont="1" applyFill="1" applyBorder="1" applyAlignment="1" applyProtection="1">
      <alignment horizontal="center"/>
      <protection/>
    </xf>
    <xf numFmtId="232" fontId="102" fillId="34" borderId="45" xfId="0" applyNumberFormat="1" applyFont="1" applyFill="1" applyBorder="1" applyAlignment="1" applyProtection="1">
      <alignment horizontal="center"/>
      <protection/>
    </xf>
    <xf numFmtId="192" fontId="21" fillId="33" borderId="0" xfId="0" applyNumberFormat="1" applyFont="1" applyFill="1" applyBorder="1" applyAlignment="1" applyProtection="1">
      <alignment horizontal="center"/>
      <protection/>
    </xf>
    <xf numFmtId="192" fontId="0" fillId="0" borderId="0" xfId="0" applyNumberFormat="1" applyBorder="1" applyAlignment="1" applyProtection="1">
      <alignment horizontal="center"/>
      <protection/>
    </xf>
    <xf numFmtId="0" fontId="0" fillId="0" borderId="185" xfId="0" applyBorder="1" applyAlignment="1" applyProtection="1">
      <alignment vertical="top" wrapText="1"/>
      <protection/>
    </xf>
    <xf numFmtId="0" fontId="0" fillId="0" borderId="10" xfId="0" applyBorder="1" applyAlignment="1" applyProtection="1">
      <alignment vertical="top" wrapText="1"/>
      <protection/>
    </xf>
    <xf numFmtId="0" fontId="0" fillId="0" borderId="71" xfId="0" applyBorder="1" applyAlignment="1" applyProtection="1">
      <alignment vertical="top" wrapText="1"/>
      <protection/>
    </xf>
    <xf numFmtId="0" fontId="6" fillId="0" borderId="0" xfId="0" applyFont="1" applyBorder="1" applyAlignment="1" applyProtection="1">
      <alignment horizontal="left" vertical="center" wrapText="1"/>
      <protection/>
    </xf>
    <xf numFmtId="169" fontId="28" fillId="35" borderId="16" xfId="0" applyNumberFormat="1"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0" borderId="0" xfId="0" applyFont="1" applyAlignment="1">
      <alignment vertical="center" wrapText="1"/>
    </xf>
    <xf numFmtId="189" fontId="19" fillId="0" borderId="0" xfId="0" applyNumberFormat="1"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Alignment="1" applyProtection="1">
      <alignment wrapText="1"/>
      <protection locked="0"/>
    </xf>
    <xf numFmtId="210" fontId="102" fillId="0" borderId="0" xfId="0" applyNumberFormat="1" applyFont="1" applyAlignment="1" applyProtection="1">
      <alignment horizontal="center"/>
      <protection/>
    </xf>
    <xf numFmtId="0" fontId="0" fillId="0" borderId="216" xfId="0" applyBorder="1" applyAlignment="1" applyProtection="1">
      <alignment wrapText="1"/>
      <protection/>
    </xf>
    <xf numFmtId="0" fontId="4" fillId="35" borderId="16" xfId="0" applyFont="1" applyFill="1" applyBorder="1" applyAlignment="1" applyProtection="1">
      <alignment horizontal="center"/>
      <protection/>
    </xf>
    <xf numFmtId="0" fontId="39" fillId="0" borderId="17" xfId="0" applyFont="1" applyBorder="1" applyAlignment="1">
      <alignment/>
    </xf>
    <xf numFmtId="3" fontId="26" fillId="37" borderId="14" xfId="0" applyNumberFormat="1" applyFont="1" applyFill="1" applyBorder="1" applyAlignment="1" applyProtection="1">
      <alignment horizontal="left" vertical="top" wrapText="1"/>
      <protection locked="0"/>
    </xf>
    <xf numFmtId="3" fontId="26" fillId="37" borderId="0" xfId="0" applyNumberFormat="1" applyFont="1" applyFill="1" applyBorder="1" applyAlignment="1">
      <alignment horizontal="left" vertical="top" wrapText="1"/>
    </xf>
    <xf numFmtId="3" fontId="26" fillId="37" borderId="184" xfId="0" applyNumberFormat="1" applyFont="1" applyFill="1" applyBorder="1" applyAlignment="1">
      <alignment horizontal="left" vertical="top" wrapText="1"/>
    </xf>
    <xf numFmtId="0" fontId="26" fillId="35" borderId="10" xfId="0" applyFont="1" applyFill="1" applyBorder="1" applyAlignment="1" applyProtection="1">
      <alignment horizontal="left"/>
      <protection/>
    </xf>
    <xf numFmtId="0" fontId="0" fillId="35" borderId="10" xfId="0" applyFill="1" applyBorder="1" applyAlignment="1" applyProtection="1">
      <alignment/>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lwl.org/LWL/Der_LWL/Aufgaben/Fachbereiche/Andere_Abteilungen/finabt/pflegesatz/sgbxi_pfgnw"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13</xdr:row>
      <xdr:rowOff>76200</xdr:rowOff>
    </xdr:from>
    <xdr:to>
      <xdr:col>9</xdr:col>
      <xdr:colOff>152400</xdr:colOff>
      <xdr:row>15</xdr:row>
      <xdr:rowOff>161925</xdr:rowOff>
    </xdr:to>
    <xdr:sp>
      <xdr:nvSpPr>
        <xdr:cNvPr id="1" name="AutoShape 61"/>
        <xdr:cNvSpPr>
          <a:spLocks/>
        </xdr:cNvSpPr>
      </xdr:nvSpPr>
      <xdr:spPr>
        <a:xfrm>
          <a:off x="7086600" y="3048000"/>
          <a:ext cx="85725" cy="495300"/>
        </a:xfrm>
        <a:prstGeom prst="rightBrac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1209675</xdr:colOff>
      <xdr:row>15</xdr:row>
      <xdr:rowOff>9525</xdr:rowOff>
    </xdr:from>
    <xdr:to>
      <xdr:col>3</xdr:col>
      <xdr:colOff>1285875</xdr:colOff>
      <xdr:row>16</xdr:row>
      <xdr:rowOff>228600</xdr:rowOff>
    </xdr:to>
    <xdr:sp>
      <xdr:nvSpPr>
        <xdr:cNvPr id="1" name="AutoShape 1"/>
        <xdr:cNvSpPr>
          <a:spLocks/>
        </xdr:cNvSpPr>
      </xdr:nvSpPr>
      <xdr:spPr>
        <a:xfrm>
          <a:off x="2905125" y="4781550"/>
          <a:ext cx="76200" cy="466725"/>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20</xdr:row>
      <xdr:rowOff>180975</xdr:rowOff>
    </xdr:from>
    <xdr:to>
      <xdr:col>3</xdr:col>
      <xdr:colOff>219075</xdr:colOff>
      <xdr:row>20</xdr:row>
      <xdr:rowOff>419100</xdr:rowOff>
    </xdr:to>
    <xdr:sp>
      <xdr:nvSpPr>
        <xdr:cNvPr id="2" name="AutoShape 4"/>
        <xdr:cNvSpPr>
          <a:spLocks/>
        </xdr:cNvSpPr>
      </xdr:nvSpPr>
      <xdr:spPr>
        <a:xfrm>
          <a:off x="1200150" y="6010275"/>
          <a:ext cx="714375" cy="238125"/>
        </a:xfrm>
        <a:prstGeom prst="wedgeRoundRectCallout">
          <a:avLst>
            <a:gd name="adj1" fmla="val 31333"/>
            <a:gd name="adj2" fmla="val 26000"/>
          </a:avLst>
        </a:prstGeom>
        <a:noFill/>
        <a:ln w="28575" cmpd="sng">
          <a:solidFill>
            <a:srgbClr val="0000FF"/>
          </a:solidFill>
          <a:headEnd type="none"/>
          <a:tailEnd type="none"/>
        </a:ln>
      </xdr:spPr>
      <xdr:txBody>
        <a:bodyPr vertOverflow="clip" wrap="square" lIns="27432" tIns="22860" rIns="0" bIns="22860" anchor="ctr"/>
        <a:p>
          <a:pPr algn="l">
            <a:defRPr/>
          </a:pPr>
          <a:r>
            <a:rPr lang="en-US" cap="none" sz="1100" b="1" i="0" u="none" baseline="0">
              <a:solidFill>
                <a:srgbClr val="000000"/>
              </a:solidFill>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101</xdr:row>
      <xdr:rowOff>66675</xdr:rowOff>
    </xdr:from>
    <xdr:to>
      <xdr:col>6</xdr:col>
      <xdr:colOff>676275</xdr:colOff>
      <xdr:row>112</xdr:row>
      <xdr:rowOff>28575</xdr:rowOff>
    </xdr:to>
    <xdr:sp>
      <xdr:nvSpPr>
        <xdr:cNvPr id="1" name="Text Box 3"/>
        <xdr:cNvSpPr txBox="1">
          <a:spLocks noChangeArrowheads="1"/>
        </xdr:cNvSpPr>
      </xdr:nvSpPr>
      <xdr:spPr>
        <a:xfrm>
          <a:off x="4829175" y="22698075"/>
          <a:ext cx="523875" cy="1743075"/>
        </a:xfrm>
        <a:prstGeom prst="rect">
          <a:avLst/>
        </a:prstGeom>
        <a:solidFill>
          <a:srgbClr val="FFCC99"/>
        </a:solidFill>
        <a:ln w="9525" cmpd="sng">
          <a:solidFill>
            <a:srgbClr val="000000"/>
          </a:solidFill>
          <a:headEnd type="none"/>
          <a:tailEnd type="none"/>
        </a:ln>
      </xdr:spPr>
      <xdr:txBody>
        <a:bodyPr vertOverflow="clip" wrap="square" lIns="27432" tIns="22860" rIns="27432" bIns="22860" anchor="ctr" vert="vert"/>
        <a:p>
          <a:pPr algn="ctr">
            <a:defRPr/>
          </a:pPr>
          <a:r>
            <a:rPr lang="en-US" cap="none" sz="1000" b="1" i="0" u="sng" baseline="0">
              <a:solidFill>
                <a:srgbClr val="000000"/>
              </a:solidFill>
              <a:latin typeface="Arial"/>
              <a:ea typeface="Arial"/>
              <a:cs typeface="Arial"/>
            </a:rPr>
            <a:t>Übertrag:</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ab 01.01.2006 vgl. Anhang zur Anlage Berechnung</a:t>
          </a:r>
        </a:p>
      </xdr:txBody>
    </xdr:sp>
    <xdr:clientData/>
  </xdr:twoCellAnchor>
  <xdr:twoCellAnchor>
    <xdr:from>
      <xdr:col>4</xdr:col>
      <xdr:colOff>95250</xdr:colOff>
      <xdr:row>164</xdr:row>
      <xdr:rowOff>142875</xdr:rowOff>
    </xdr:from>
    <xdr:to>
      <xdr:col>4</xdr:col>
      <xdr:colOff>257175</xdr:colOff>
      <xdr:row>183</xdr:row>
      <xdr:rowOff>123825</xdr:rowOff>
    </xdr:to>
    <xdr:sp>
      <xdr:nvSpPr>
        <xdr:cNvPr id="2" name="AutoShape 49"/>
        <xdr:cNvSpPr>
          <a:spLocks/>
        </xdr:cNvSpPr>
      </xdr:nvSpPr>
      <xdr:spPr>
        <a:xfrm>
          <a:off x="2962275" y="33156525"/>
          <a:ext cx="161925" cy="3057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184</xdr:row>
      <xdr:rowOff>0</xdr:rowOff>
    </xdr:from>
    <xdr:to>
      <xdr:col>4</xdr:col>
      <xdr:colOff>219075</xdr:colOff>
      <xdr:row>187</xdr:row>
      <xdr:rowOff>0</xdr:rowOff>
    </xdr:to>
    <xdr:sp>
      <xdr:nvSpPr>
        <xdr:cNvPr id="3" name="AutoShape 50"/>
        <xdr:cNvSpPr>
          <a:spLocks/>
        </xdr:cNvSpPr>
      </xdr:nvSpPr>
      <xdr:spPr>
        <a:xfrm>
          <a:off x="2952750" y="36252150"/>
          <a:ext cx="1333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187</xdr:row>
      <xdr:rowOff>0</xdr:rowOff>
    </xdr:from>
    <xdr:to>
      <xdr:col>4</xdr:col>
      <xdr:colOff>171450</xdr:colOff>
      <xdr:row>189</xdr:row>
      <xdr:rowOff>0</xdr:rowOff>
    </xdr:to>
    <xdr:sp>
      <xdr:nvSpPr>
        <xdr:cNvPr id="4" name="AutoShape 51"/>
        <xdr:cNvSpPr>
          <a:spLocks/>
        </xdr:cNvSpPr>
      </xdr:nvSpPr>
      <xdr:spPr>
        <a:xfrm>
          <a:off x="2962275" y="36737925"/>
          <a:ext cx="76200" cy="323850"/>
        </a:xfrm>
        <a:prstGeom prst="rightBrace">
          <a:avLst>
            <a:gd name="adj" fmla="val 2352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191</xdr:row>
      <xdr:rowOff>9525</xdr:rowOff>
    </xdr:from>
    <xdr:to>
      <xdr:col>4</xdr:col>
      <xdr:colOff>219075</xdr:colOff>
      <xdr:row>206</xdr:row>
      <xdr:rowOff>152400</xdr:rowOff>
    </xdr:to>
    <xdr:sp>
      <xdr:nvSpPr>
        <xdr:cNvPr id="5" name="AutoShape 52"/>
        <xdr:cNvSpPr>
          <a:spLocks/>
        </xdr:cNvSpPr>
      </xdr:nvSpPr>
      <xdr:spPr>
        <a:xfrm>
          <a:off x="2962275" y="37395150"/>
          <a:ext cx="123825" cy="2571750"/>
        </a:xfrm>
        <a:prstGeom prst="rightBrace">
          <a:avLst>
            <a:gd name="adj" fmla="val 293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206</xdr:row>
      <xdr:rowOff>95250</xdr:rowOff>
    </xdr:from>
    <xdr:to>
      <xdr:col>4</xdr:col>
      <xdr:colOff>228600</xdr:colOff>
      <xdr:row>218</xdr:row>
      <xdr:rowOff>114300</xdr:rowOff>
    </xdr:to>
    <xdr:sp>
      <xdr:nvSpPr>
        <xdr:cNvPr id="6" name="Geschweifte Klammer rechts 7"/>
        <xdr:cNvSpPr>
          <a:spLocks/>
        </xdr:cNvSpPr>
      </xdr:nvSpPr>
      <xdr:spPr>
        <a:xfrm>
          <a:off x="2943225" y="39909750"/>
          <a:ext cx="152400" cy="19621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218</xdr:row>
      <xdr:rowOff>142875</xdr:rowOff>
    </xdr:from>
    <xdr:to>
      <xdr:col>4</xdr:col>
      <xdr:colOff>266700</xdr:colOff>
      <xdr:row>223</xdr:row>
      <xdr:rowOff>133350</xdr:rowOff>
    </xdr:to>
    <xdr:sp>
      <xdr:nvSpPr>
        <xdr:cNvPr id="7" name="Geschweifte Klammer rechts 8"/>
        <xdr:cNvSpPr>
          <a:spLocks/>
        </xdr:cNvSpPr>
      </xdr:nvSpPr>
      <xdr:spPr>
        <a:xfrm>
          <a:off x="2962275" y="41900475"/>
          <a:ext cx="171450" cy="8001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224</xdr:row>
      <xdr:rowOff>47625</xdr:rowOff>
    </xdr:from>
    <xdr:to>
      <xdr:col>4</xdr:col>
      <xdr:colOff>285750</xdr:colOff>
      <xdr:row>235</xdr:row>
      <xdr:rowOff>133350</xdr:rowOff>
    </xdr:to>
    <xdr:sp>
      <xdr:nvSpPr>
        <xdr:cNvPr id="8" name="Geschweifte Klammer rechts 8"/>
        <xdr:cNvSpPr>
          <a:spLocks/>
        </xdr:cNvSpPr>
      </xdr:nvSpPr>
      <xdr:spPr>
        <a:xfrm>
          <a:off x="2924175" y="42776775"/>
          <a:ext cx="228600" cy="18669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236</xdr:row>
      <xdr:rowOff>66675</xdr:rowOff>
    </xdr:from>
    <xdr:to>
      <xdr:col>4</xdr:col>
      <xdr:colOff>238125</xdr:colOff>
      <xdr:row>242</xdr:row>
      <xdr:rowOff>142875</xdr:rowOff>
    </xdr:to>
    <xdr:sp>
      <xdr:nvSpPr>
        <xdr:cNvPr id="9" name="Geschweifte Klammer rechts 11"/>
        <xdr:cNvSpPr>
          <a:spLocks/>
        </xdr:cNvSpPr>
      </xdr:nvSpPr>
      <xdr:spPr>
        <a:xfrm>
          <a:off x="2943225" y="44738925"/>
          <a:ext cx="161925" cy="10477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243</xdr:row>
      <xdr:rowOff>85725</xdr:rowOff>
    </xdr:from>
    <xdr:to>
      <xdr:col>4</xdr:col>
      <xdr:colOff>171450</xdr:colOff>
      <xdr:row>252</xdr:row>
      <xdr:rowOff>142875</xdr:rowOff>
    </xdr:to>
    <xdr:sp>
      <xdr:nvSpPr>
        <xdr:cNvPr id="10" name="Geschweifte Klammer rechts 11"/>
        <xdr:cNvSpPr>
          <a:spLocks/>
        </xdr:cNvSpPr>
      </xdr:nvSpPr>
      <xdr:spPr>
        <a:xfrm>
          <a:off x="2952750" y="45891450"/>
          <a:ext cx="85725" cy="15144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98</xdr:row>
      <xdr:rowOff>114300</xdr:rowOff>
    </xdr:from>
    <xdr:to>
      <xdr:col>6</xdr:col>
      <xdr:colOff>647700</xdr:colOff>
      <xdr:row>109</xdr:row>
      <xdr:rowOff>76200</xdr:rowOff>
    </xdr:to>
    <xdr:sp>
      <xdr:nvSpPr>
        <xdr:cNvPr id="1" name="Text Box 3"/>
        <xdr:cNvSpPr txBox="1">
          <a:spLocks noChangeArrowheads="1"/>
        </xdr:cNvSpPr>
      </xdr:nvSpPr>
      <xdr:spPr>
        <a:xfrm>
          <a:off x="4714875" y="22602825"/>
          <a:ext cx="523875" cy="1743075"/>
        </a:xfrm>
        <a:prstGeom prst="rect">
          <a:avLst/>
        </a:prstGeom>
        <a:solidFill>
          <a:srgbClr val="FFCC99"/>
        </a:solidFill>
        <a:ln w="9525" cmpd="sng">
          <a:solidFill>
            <a:srgbClr val="000000"/>
          </a:solidFill>
          <a:headEnd type="none"/>
          <a:tailEnd type="none"/>
        </a:ln>
      </xdr:spPr>
      <xdr:txBody>
        <a:bodyPr vertOverflow="clip" wrap="square" lIns="27432" tIns="22860" rIns="27432" bIns="22860" anchor="ctr" vert="vert"/>
        <a:p>
          <a:pPr algn="ctr">
            <a:defRPr/>
          </a:pPr>
          <a:r>
            <a:rPr lang="en-US" cap="none" sz="1000" b="1" i="0" u="sng" baseline="0">
              <a:solidFill>
                <a:srgbClr val="000000"/>
              </a:solidFill>
              <a:latin typeface="Arial"/>
              <a:ea typeface="Arial"/>
              <a:cs typeface="Arial"/>
            </a:rPr>
            <a:t>Übertrag:</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ab 01.01.2006 vgl. Anhang zur Anlage Berechnung</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55">
      <selection activeCell="G1" sqref="G1:H1"/>
    </sheetView>
  </sheetViews>
  <sheetFormatPr defaultColWidth="11.421875" defaultRowHeight="12.75"/>
  <cols>
    <col min="1" max="1" width="5.8515625" style="833" customWidth="1"/>
    <col min="2" max="2" width="5.57421875" style="833" customWidth="1"/>
    <col min="3" max="3" width="4.8515625" style="833" customWidth="1"/>
    <col min="4" max="7" width="11.421875" style="833" customWidth="1"/>
    <col min="8" max="8" width="45.28125" style="833" customWidth="1"/>
    <col min="9" max="9" width="3.28125" style="833" customWidth="1"/>
    <col min="10" max="10" width="2.7109375" style="833" customWidth="1"/>
    <col min="11" max="12" width="11.421875" style="833" customWidth="1"/>
    <col min="13" max="13" width="14.7109375" style="833" customWidth="1"/>
    <col min="14" max="16384" width="11.421875" style="833" customWidth="1"/>
  </cols>
  <sheetData>
    <row r="1" spans="1:8" ht="24.75" customHeight="1">
      <c r="A1" s="848" t="s">
        <v>375</v>
      </c>
      <c r="G1" s="1015" t="s">
        <v>18</v>
      </c>
      <c r="H1" s="1016"/>
    </row>
    <row r="2" spans="1:4" ht="32.25" customHeight="1">
      <c r="A2" s="957" t="s">
        <v>376</v>
      </c>
      <c r="B2" s="837"/>
      <c r="C2" s="837"/>
      <c r="D2" s="837"/>
    </row>
    <row r="3" spans="1:4" ht="17.25">
      <c r="A3" s="837"/>
      <c r="B3" s="847" t="s">
        <v>193</v>
      </c>
      <c r="C3" s="847" t="s">
        <v>377</v>
      </c>
      <c r="D3" s="837"/>
    </row>
    <row r="4" spans="1:4" ht="20.25" customHeight="1">
      <c r="A4" s="837"/>
      <c r="B4" s="847" t="s">
        <v>193</v>
      </c>
      <c r="C4" s="847" t="s">
        <v>4</v>
      </c>
      <c r="D4" s="837"/>
    </row>
    <row r="5" spans="1:4" ht="20.25" customHeight="1">
      <c r="A5" s="837"/>
      <c r="B5" s="847" t="s">
        <v>193</v>
      </c>
      <c r="C5" s="847" t="s">
        <v>418</v>
      </c>
      <c r="D5" s="837"/>
    </row>
    <row r="6" ht="18" customHeight="1">
      <c r="A6" s="832" t="s">
        <v>378</v>
      </c>
    </row>
    <row r="7" spans="2:4" ht="18" customHeight="1">
      <c r="B7" s="834" t="s">
        <v>193</v>
      </c>
      <c r="C7" s="847" t="s">
        <v>386</v>
      </c>
      <c r="D7" s="834"/>
    </row>
    <row r="8" spans="2:5" ht="18" customHeight="1">
      <c r="B8" s="834" t="s">
        <v>60</v>
      </c>
      <c r="C8" s="834" t="s">
        <v>379</v>
      </c>
      <c r="D8" s="834"/>
      <c r="E8" s="834" t="s">
        <v>355</v>
      </c>
    </row>
    <row r="9" spans="2:5" ht="18" customHeight="1">
      <c r="B9" s="834" t="s">
        <v>60</v>
      </c>
      <c r="C9" s="834" t="s">
        <v>380</v>
      </c>
      <c r="D9" s="834"/>
      <c r="E9" s="834" t="s">
        <v>391</v>
      </c>
    </row>
    <row r="10" spans="2:5" ht="18" customHeight="1">
      <c r="B10" s="834" t="s">
        <v>60</v>
      </c>
      <c r="C10" s="834" t="s">
        <v>381</v>
      </c>
      <c r="D10" s="834"/>
      <c r="E10" s="834" t="s">
        <v>358</v>
      </c>
    </row>
    <row r="11" spans="2:5" ht="18" customHeight="1">
      <c r="B11" s="834" t="s">
        <v>60</v>
      </c>
      <c r="C11" s="834" t="s">
        <v>382</v>
      </c>
      <c r="D11" s="834"/>
      <c r="E11" s="834" t="s">
        <v>387</v>
      </c>
    </row>
    <row r="12" spans="2:5" ht="18" customHeight="1">
      <c r="B12" s="834" t="s">
        <v>60</v>
      </c>
      <c r="C12" s="834" t="s">
        <v>383</v>
      </c>
      <c r="D12" s="834"/>
      <c r="E12" s="834" t="s">
        <v>388</v>
      </c>
    </row>
    <row r="13" spans="2:5" ht="18" customHeight="1">
      <c r="B13" s="834" t="s">
        <v>60</v>
      </c>
      <c r="C13" s="834" t="s">
        <v>384</v>
      </c>
      <c r="D13" s="834"/>
      <c r="E13" s="834" t="s">
        <v>389</v>
      </c>
    </row>
    <row r="14" spans="2:5" ht="18" customHeight="1">
      <c r="B14" s="834" t="s">
        <v>60</v>
      </c>
      <c r="C14" s="834" t="s">
        <v>385</v>
      </c>
      <c r="D14" s="834"/>
      <c r="E14" s="834" t="s">
        <v>390</v>
      </c>
    </row>
    <row r="15" spans="2:5" ht="4.5" customHeight="1">
      <c r="B15" s="834"/>
      <c r="C15" s="834"/>
      <c r="D15" s="834"/>
      <c r="E15" s="834"/>
    </row>
    <row r="16" spans="1:8" ht="28.5" customHeight="1">
      <c r="A16" s="1019" t="s">
        <v>392</v>
      </c>
      <c r="B16" s="1019"/>
      <c r="C16" s="1019"/>
      <c r="D16" s="1019"/>
      <c r="E16" s="1019"/>
      <c r="F16" s="1019"/>
      <c r="G16" s="1019"/>
      <c r="H16" s="1019"/>
    </row>
    <row r="17" ht="8.25" customHeight="1"/>
    <row r="18" spans="1:2" ht="15">
      <c r="A18" s="832" t="s">
        <v>344</v>
      </c>
      <c r="B18" s="834"/>
    </row>
    <row r="19" spans="1:2" ht="7.5" customHeight="1">
      <c r="A19" s="832"/>
      <c r="B19" s="834"/>
    </row>
    <row r="20" spans="1:10" s="831" customFormat="1" ht="25.5" customHeight="1">
      <c r="A20" s="133" t="s">
        <v>345</v>
      </c>
      <c r="B20" s="133" t="s">
        <v>393</v>
      </c>
      <c r="J20" s="833"/>
    </row>
    <row r="21" spans="2:8" ht="141.75" customHeight="1">
      <c r="B21" s="1014" t="s">
        <v>404</v>
      </c>
      <c r="C21" s="1014"/>
      <c r="D21" s="1014"/>
      <c r="E21" s="1014"/>
      <c r="F21" s="1014"/>
      <c r="G21" s="1014"/>
      <c r="H21" s="1014"/>
    </row>
    <row r="22" spans="1:10" s="831" customFormat="1" ht="25.5" customHeight="1">
      <c r="A22" s="133" t="s">
        <v>346</v>
      </c>
      <c r="B22" s="133" t="s">
        <v>394</v>
      </c>
      <c r="J22" s="833"/>
    </row>
    <row r="23" spans="1:2" ht="19.5" customHeight="1">
      <c r="A23" s="836" t="s">
        <v>347</v>
      </c>
      <c r="B23" s="837" t="s">
        <v>349</v>
      </c>
    </row>
    <row r="24" spans="1:2" ht="19.5" customHeight="1">
      <c r="A24" s="836" t="s">
        <v>350</v>
      </c>
      <c r="B24" s="837" t="s">
        <v>348</v>
      </c>
    </row>
    <row r="25" spans="1:11" ht="30" customHeight="1">
      <c r="A25" s="836" t="s">
        <v>352</v>
      </c>
      <c r="B25" s="1018" t="s">
        <v>19</v>
      </c>
      <c r="C25" s="1014"/>
      <c r="D25" s="1014"/>
      <c r="E25" s="1014"/>
      <c r="F25" s="1014"/>
      <c r="G25" s="1014"/>
      <c r="H25" s="1014"/>
      <c r="K25" s="956"/>
    </row>
    <row r="26" spans="1:13" ht="138" customHeight="1">
      <c r="A26" s="836"/>
      <c r="B26" s="1018" t="s">
        <v>3</v>
      </c>
      <c r="C26" s="1014"/>
      <c r="D26" s="1014"/>
      <c r="E26" s="1014"/>
      <c r="F26" s="1014"/>
      <c r="G26" s="1014"/>
      <c r="H26" s="1014"/>
      <c r="K26" s="1013"/>
      <c r="L26" s="1014"/>
      <c r="M26" s="1014"/>
    </row>
    <row r="27" spans="1:11" ht="86.25" customHeight="1">
      <c r="A27" s="836"/>
      <c r="B27" s="1018" t="s">
        <v>20</v>
      </c>
      <c r="C27" s="1014"/>
      <c r="D27" s="1014"/>
      <c r="E27" s="1014"/>
      <c r="F27" s="1014"/>
      <c r="G27" s="1014"/>
      <c r="H27" s="1014"/>
      <c r="K27" s="956"/>
    </row>
    <row r="28" spans="1:8" ht="45" customHeight="1">
      <c r="A28" s="836"/>
      <c r="B28" s="1018" t="s">
        <v>419</v>
      </c>
      <c r="C28" s="1014"/>
      <c r="D28" s="1014"/>
      <c r="E28" s="1014"/>
      <c r="F28" s="1014"/>
      <c r="G28" s="1014"/>
      <c r="H28" s="1014"/>
    </row>
    <row r="29" spans="1:8" ht="69.75" customHeight="1">
      <c r="A29" s="836"/>
      <c r="B29" s="1018" t="s">
        <v>420</v>
      </c>
      <c r="C29" s="1014"/>
      <c r="D29" s="1014"/>
      <c r="E29" s="1014"/>
      <c r="F29" s="1014"/>
      <c r="G29" s="1014"/>
      <c r="H29" s="1014"/>
    </row>
    <row r="30" spans="1:8" ht="68.25" customHeight="1">
      <c r="A30" s="836"/>
      <c r="B30" s="1018" t="s">
        <v>21</v>
      </c>
      <c r="C30" s="1014"/>
      <c r="D30" s="1014"/>
      <c r="E30" s="1014"/>
      <c r="F30" s="1014"/>
      <c r="G30" s="1014"/>
      <c r="H30" s="1014"/>
    </row>
    <row r="31" spans="1:11" ht="39.75" customHeight="1">
      <c r="A31" s="836"/>
      <c r="B31" s="1018" t="s">
        <v>5</v>
      </c>
      <c r="C31" s="1014"/>
      <c r="D31" s="1014"/>
      <c r="E31" s="1014"/>
      <c r="F31" s="1014"/>
      <c r="G31" s="1014"/>
      <c r="H31" s="1014"/>
      <c r="K31" s="956"/>
    </row>
    <row r="32" spans="1:2" s="831" customFormat="1" ht="24.75" customHeight="1">
      <c r="A32" s="133" t="s">
        <v>351</v>
      </c>
      <c r="B32" s="133" t="s">
        <v>368</v>
      </c>
    </row>
    <row r="33" spans="1:8" ht="21" customHeight="1">
      <c r="A33" s="839" t="s">
        <v>347</v>
      </c>
      <c r="B33" s="1014" t="s">
        <v>395</v>
      </c>
      <c r="C33" s="1014"/>
      <c r="D33" s="1014"/>
      <c r="E33" s="1014"/>
      <c r="F33" s="1014"/>
      <c r="G33" s="1014"/>
      <c r="H33" s="1014"/>
    </row>
    <row r="34" spans="1:8" ht="32.25" customHeight="1">
      <c r="A34" s="839" t="s">
        <v>350</v>
      </c>
      <c r="B34" s="1014" t="s">
        <v>396</v>
      </c>
      <c r="C34" s="1014"/>
      <c r="D34" s="1014"/>
      <c r="E34" s="1014"/>
      <c r="F34" s="1014"/>
      <c r="G34" s="1014"/>
      <c r="H34" s="1014"/>
    </row>
    <row r="35" spans="1:8" ht="30.75" customHeight="1">
      <c r="A35" s="839" t="s">
        <v>352</v>
      </c>
      <c r="B35" s="1014" t="s">
        <v>397</v>
      </c>
      <c r="C35" s="1014"/>
      <c r="D35" s="1014"/>
      <c r="E35" s="1014"/>
      <c r="F35" s="1014"/>
      <c r="G35" s="1014"/>
      <c r="H35" s="1014"/>
    </row>
    <row r="36" spans="1:8" ht="25.5" customHeight="1">
      <c r="A36" s="839" t="s">
        <v>353</v>
      </c>
      <c r="B36" s="1014" t="s">
        <v>398</v>
      </c>
      <c r="C36" s="1014"/>
      <c r="D36" s="1014"/>
      <c r="E36" s="1014"/>
      <c r="F36" s="1014"/>
      <c r="G36" s="1014"/>
      <c r="H36" s="1014"/>
    </row>
    <row r="37" s="845" customFormat="1" ht="24.75" customHeight="1">
      <c r="A37" s="849" t="s">
        <v>35</v>
      </c>
    </row>
    <row r="39" spans="1:3" s="831" customFormat="1" ht="25.5" customHeight="1">
      <c r="A39" s="133" t="s">
        <v>386</v>
      </c>
      <c r="B39" s="133"/>
      <c r="C39" s="133"/>
    </row>
    <row r="40" spans="1:8" ht="64.5" customHeight="1">
      <c r="A40" s="839"/>
      <c r="C40" s="1014" t="s">
        <v>399</v>
      </c>
      <c r="D40" s="1014"/>
      <c r="E40" s="1014"/>
      <c r="F40" s="1014"/>
      <c r="G40" s="1014"/>
      <c r="H40" s="1014"/>
    </row>
    <row r="41" spans="1:3" s="831" customFormat="1" ht="25.5" customHeight="1">
      <c r="A41" s="133" t="s">
        <v>354</v>
      </c>
      <c r="B41" s="133"/>
      <c r="C41" s="133" t="s">
        <v>355</v>
      </c>
    </row>
    <row r="42" spans="3:8" ht="17.25" customHeight="1">
      <c r="C42" s="1014" t="s">
        <v>400</v>
      </c>
      <c r="D42" s="1014"/>
      <c r="E42" s="1014"/>
      <c r="F42" s="1014"/>
      <c r="G42" s="1014"/>
      <c r="H42" s="1014"/>
    </row>
    <row r="43" spans="1:3" s="831" customFormat="1" ht="25.5" customHeight="1">
      <c r="A43" s="133" t="s">
        <v>356</v>
      </c>
      <c r="B43" s="133"/>
      <c r="C43" s="133" t="s">
        <v>401</v>
      </c>
    </row>
    <row r="44" spans="3:8" ht="89.25" customHeight="1">
      <c r="C44" s="1014" t="s">
        <v>24</v>
      </c>
      <c r="D44" s="1014"/>
      <c r="E44" s="1014"/>
      <c r="F44" s="1014"/>
      <c r="G44" s="1014"/>
      <c r="H44" s="1014"/>
    </row>
    <row r="45" spans="1:3" ht="18.75" customHeight="1">
      <c r="A45" s="834" t="s">
        <v>357</v>
      </c>
      <c r="B45" s="834"/>
      <c r="C45" s="834" t="s">
        <v>358</v>
      </c>
    </row>
    <row r="46" spans="3:8" ht="127.5" customHeight="1">
      <c r="C46" s="1014" t="s">
        <v>409</v>
      </c>
      <c r="D46" s="1014"/>
      <c r="E46" s="1014"/>
      <c r="F46" s="1014"/>
      <c r="G46" s="1014"/>
      <c r="H46" s="1014"/>
    </row>
    <row r="47" spans="1:3" s="831" customFormat="1" ht="25.5" customHeight="1">
      <c r="A47" s="133" t="s">
        <v>359</v>
      </c>
      <c r="B47" s="133"/>
      <c r="C47" s="133" t="s">
        <v>360</v>
      </c>
    </row>
    <row r="48" spans="3:8" s="834" customFormat="1" ht="12.75">
      <c r="C48" s="1014" t="s">
        <v>361</v>
      </c>
      <c r="D48" s="1014"/>
      <c r="E48" s="1014"/>
      <c r="F48" s="1014"/>
      <c r="G48" s="1014"/>
      <c r="H48" s="1014"/>
    </row>
    <row r="49" spans="3:8" ht="39.75" customHeight="1">
      <c r="C49" s="838" t="s">
        <v>60</v>
      </c>
      <c r="D49" s="1014" t="s">
        <v>25</v>
      </c>
      <c r="E49" s="1014"/>
      <c r="F49" s="1014"/>
      <c r="G49" s="1014"/>
      <c r="H49" s="1014"/>
    </row>
    <row r="50" spans="3:8" ht="25.5" customHeight="1">
      <c r="C50" s="838" t="s">
        <v>60</v>
      </c>
      <c r="D50" s="1014" t="s">
        <v>36</v>
      </c>
      <c r="E50" s="1014"/>
      <c r="F50" s="1014"/>
      <c r="G50" s="1014"/>
      <c r="H50" s="1014"/>
    </row>
    <row r="51" spans="3:8" ht="24.75" customHeight="1">
      <c r="C51" s="1017" t="s">
        <v>37</v>
      </c>
      <c r="D51" s="1014"/>
      <c r="E51" s="1014"/>
      <c r="F51" s="1014"/>
      <c r="G51" s="1014"/>
      <c r="H51" s="1014"/>
    </row>
    <row r="52" spans="3:8" ht="20.25" customHeight="1">
      <c r="C52" s="852" t="s">
        <v>26</v>
      </c>
      <c r="D52" s="835"/>
      <c r="E52" s="835"/>
      <c r="F52" s="835"/>
      <c r="G52" s="835"/>
      <c r="H52" s="835"/>
    </row>
    <row r="53" spans="3:8" ht="15.75" customHeight="1">
      <c r="C53" s="52" t="s">
        <v>60</v>
      </c>
      <c r="D53" s="845" t="s">
        <v>28</v>
      </c>
      <c r="E53" s="835"/>
      <c r="F53" s="835"/>
      <c r="G53" s="835"/>
      <c r="H53" s="835"/>
    </row>
    <row r="54" spans="3:8" ht="15.75" customHeight="1">
      <c r="C54" s="52" t="s">
        <v>60</v>
      </c>
      <c r="D54" s="845" t="s">
        <v>27</v>
      </c>
      <c r="E54" s="835"/>
      <c r="F54" s="835"/>
      <c r="G54" s="835"/>
      <c r="H54" s="835"/>
    </row>
    <row r="55" spans="3:8" ht="15.75" customHeight="1">
      <c r="C55" s="52" t="s">
        <v>60</v>
      </c>
      <c r="D55" s="845" t="s">
        <v>38</v>
      </c>
      <c r="E55" s="835"/>
      <c r="F55" s="835"/>
      <c r="G55" s="835"/>
      <c r="H55" s="835"/>
    </row>
    <row r="56" spans="3:8" ht="15.75" customHeight="1">
      <c r="C56" s="52" t="s">
        <v>60</v>
      </c>
      <c r="D56" s="845" t="s">
        <v>402</v>
      </c>
      <c r="E56" s="835"/>
      <c r="F56" s="835"/>
      <c r="G56" s="835"/>
      <c r="H56" s="835"/>
    </row>
    <row r="57" spans="3:8" s="831" customFormat="1" ht="18.75" customHeight="1">
      <c r="C57" s="850" t="s">
        <v>29</v>
      </c>
      <c r="E57" s="851"/>
      <c r="F57" s="851"/>
      <c r="G57" s="851"/>
      <c r="H57" s="851"/>
    </row>
    <row r="58" spans="3:8" ht="51.75" customHeight="1">
      <c r="C58" s="838" t="s">
        <v>60</v>
      </c>
      <c r="D58" s="1014" t="s">
        <v>39</v>
      </c>
      <c r="E58" s="1014"/>
      <c r="F58" s="1014"/>
      <c r="G58" s="1014"/>
      <c r="H58" s="1014"/>
    </row>
    <row r="59" spans="3:8" ht="35.25" customHeight="1">
      <c r="C59" s="838" t="s">
        <v>60</v>
      </c>
      <c r="D59" s="1014" t="s">
        <v>30</v>
      </c>
      <c r="E59" s="1014"/>
      <c r="F59" s="1014"/>
      <c r="G59" s="1014"/>
      <c r="H59" s="1014"/>
    </row>
    <row r="60" spans="3:8" ht="105" customHeight="1">
      <c r="C60" s="1014" t="s">
        <v>31</v>
      </c>
      <c r="D60" s="1014"/>
      <c r="E60" s="1014"/>
      <c r="F60" s="1014"/>
      <c r="G60" s="1014"/>
      <c r="H60" s="1014"/>
    </row>
    <row r="61" spans="1:3" s="831" customFormat="1" ht="25.5" customHeight="1">
      <c r="A61" s="133" t="s">
        <v>362</v>
      </c>
      <c r="B61" s="133"/>
      <c r="C61" s="133" t="s">
        <v>388</v>
      </c>
    </row>
    <row r="62" spans="3:8" ht="93" customHeight="1">
      <c r="C62" s="1014" t="s">
        <v>403</v>
      </c>
      <c r="D62" s="1014"/>
      <c r="E62" s="1014"/>
      <c r="F62" s="1014"/>
      <c r="G62" s="1014"/>
      <c r="H62" s="1014"/>
    </row>
    <row r="63" spans="3:8" ht="12.75">
      <c r="C63" s="838" t="s">
        <v>60</v>
      </c>
      <c r="D63" s="1014" t="s">
        <v>363</v>
      </c>
      <c r="E63" s="1014"/>
      <c r="F63" s="1014"/>
      <c r="G63" s="1014"/>
      <c r="H63" s="1014"/>
    </row>
    <row r="64" spans="3:8" ht="51.75" customHeight="1">
      <c r="C64" s="838" t="s">
        <v>60</v>
      </c>
      <c r="D64" s="1014" t="s">
        <v>34</v>
      </c>
      <c r="E64" s="1014"/>
      <c r="F64" s="1014"/>
      <c r="G64" s="1014"/>
      <c r="H64" s="1014"/>
    </row>
    <row r="65" spans="3:8" ht="66" customHeight="1">
      <c r="C65" s="1014" t="s">
        <v>41</v>
      </c>
      <c r="D65" s="1014"/>
      <c r="E65" s="1014"/>
      <c r="F65" s="1014"/>
      <c r="G65" s="1014"/>
      <c r="H65" s="1014"/>
    </row>
    <row r="66" spans="1:3" s="831" customFormat="1" ht="25.5" customHeight="1">
      <c r="A66" s="133" t="s">
        <v>364</v>
      </c>
      <c r="B66" s="133"/>
      <c r="C66" s="133" t="s">
        <v>389</v>
      </c>
    </row>
    <row r="67" spans="3:8" ht="63.75" customHeight="1">
      <c r="C67" s="1014" t="s">
        <v>32</v>
      </c>
      <c r="D67" s="1014"/>
      <c r="E67" s="1014"/>
      <c r="F67" s="1014"/>
      <c r="G67" s="1014"/>
      <c r="H67" s="1014"/>
    </row>
    <row r="68" spans="3:8" ht="12.75">
      <c r="C68" s="838" t="s">
        <v>60</v>
      </c>
      <c r="D68" s="1014" t="s">
        <v>365</v>
      </c>
      <c r="E68" s="1014"/>
      <c r="F68" s="1014"/>
      <c r="G68" s="1014"/>
      <c r="H68" s="1014"/>
    </row>
    <row r="69" spans="3:8" ht="66.75" customHeight="1">
      <c r="C69" s="838" t="s">
        <v>60</v>
      </c>
      <c r="D69" s="1014" t="s">
        <v>33</v>
      </c>
      <c r="E69" s="1014"/>
      <c r="F69" s="1014"/>
      <c r="G69" s="1014"/>
      <c r="H69" s="1014"/>
    </row>
    <row r="70" spans="3:8" ht="77.25" customHeight="1">
      <c r="C70" s="1014" t="s">
        <v>40</v>
      </c>
      <c r="D70" s="1014"/>
      <c r="E70" s="1014"/>
      <c r="F70" s="1014"/>
      <c r="G70" s="1014"/>
      <c r="H70" s="1014"/>
    </row>
    <row r="71" spans="1:3" s="831" customFormat="1" ht="25.5" customHeight="1">
      <c r="A71" s="133" t="s">
        <v>366</v>
      </c>
      <c r="B71" s="133"/>
      <c r="C71" s="133" t="s">
        <v>367</v>
      </c>
    </row>
    <row r="72" spans="3:8" ht="104.25" customHeight="1">
      <c r="C72" s="1014" t="s">
        <v>42</v>
      </c>
      <c r="D72" s="1014"/>
      <c r="E72" s="1014"/>
      <c r="F72" s="1014"/>
      <c r="G72" s="1014"/>
      <c r="H72" s="1014"/>
    </row>
  </sheetData>
  <sheetProtection password="DB77" sheet="1"/>
  <mergeCells count="35">
    <mergeCell ref="B29:H29"/>
    <mergeCell ref="B30:H30"/>
    <mergeCell ref="B31:H31"/>
    <mergeCell ref="B27:H27"/>
    <mergeCell ref="B28:H28"/>
    <mergeCell ref="A16:H16"/>
    <mergeCell ref="B21:H21"/>
    <mergeCell ref="B25:H25"/>
    <mergeCell ref="B26:H26"/>
    <mergeCell ref="D50:H50"/>
    <mergeCell ref="C48:H48"/>
    <mergeCell ref="B35:H35"/>
    <mergeCell ref="B36:H36"/>
    <mergeCell ref="B33:H33"/>
    <mergeCell ref="B34:H34"/>
    <mergeCell ref="G1:H1"/>
    <mergeCell ref="D68:H68"/>
    <mergeCell ref="D49:H49"/>
    <mergeCell ref="C40:H40"/>
    <mergeCell ref="D58:H58"/>
    <mergeCell ref="D59:H59"/>
    <mergeCell ref="C51:H51"/>
    <mergeCell ref="C42:H42"/>
    <mergeCell ref="C44:H44"/>
    <mergeCell ref="C46:H46"/>
    <mergeCell ref="K26:M26"/>
    <mergeCell ref="D69:H69"/>
    <mergeCell ref="C72:H72"/>
    <mergeCell ref="D63:H63"/>
    <mergeCell ref="D64:H64"/>
    <mergeCell ref="C67:H67"/>
    <mergeCell ref="C65:H65"/>
    <mergeCell ref="C70:H70"/>
    <mergeCell ref="C62:H62"/>
    <mergeCell ref="C60:H60"/>
  </mergeCells>
  <printOptions/>
  <pageMargins left="0.78" right="0.64" top="0.65" bottom="0.47" header="0.64" footer="0.23"/>
  <pageSetup fitToHeight="0" fitToWidth="1" horizontalDpi="600" verticalDpi="600" orientation="portrait" paperSize="9" scale="83" r:id="rId1"/>
  <headerFooter alignWithMargins="0">
    <oddFooter>&amp;L&amp;F&amp;R&amp;A</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76"/>
  <sheetViews>
    <sheetView zoomScale="77" zoomScaleNormal="77" zoomScalePageLayoutView="0" workbookViewId="0" topLeftCell="A1">
      <selection activeCell="H10" sqref="H10"/>
    </sheetView>
  </sheetViews>
  <sheetFormatPr defaultColWidth="11.421875" defaultRowHeight="12.75"/>
  <cols>
    <col min="1" max="1" width="6.8515625" style="245" customWidth="1"/>
    <col min="2" max="2" width="12.421875" style="245" bestFit="1" customWidth="1"/>
    <col min="3" max="3" width="11.421875" style="245" customWidth="1"/>
    <col min="4" max="4" width="11.28125" style="245" customWidth="1"/>
    <col min="5" max="5" width="7.28125" style="245" customWidth="1"/>
    <col min="6" max="6" width="11.421875" style="245" customWidth="1"/>
    <col min="7" max="7" width="12.57421875" style="245" customWidth="1"/>
    <col min="8" max="8" width="17.57421875" style="245" bestFit="1" customWidth="1"/>
    <col min="9" max="9" width="14.28125" style="245" customWidth="1"/>
    <col min="10" max="10" width="13.421875" style="245" customWidth="1"/>
    <col min="11" max="11" width="22.57421875" style="245" customWidth="1"/>
    <col min="12" max="13" width="3.140625" style="245" customWidth="1"/>
    <col min="14" max="14" width="55.140625" style="245" customWidth="1"/>
    <col min="15" max="15" width="33.28125" style="245" bestFit="1" customWidth="1"/>
    <col min="16" max="16384" width="11.421875" style="245" customWidth="1"/>
  </cols>
  <sheetData>
    <row r="1" spans="1:12" ht="25.5" customHeight="1" thickBot="1">
      <c r="A1" s="644" t="str">
        <f>IF(H10="","Antrags-/ Abfragebogen","Antrags-/ Abfragebogen "&amp;YEAR(K10)-1&amp;"/"&amp;YEAR(K10)&amp;":")</f>
        <v>Antrags-/ Abfragebogen 2011/2012:</v>
      </c>
      <c r="B1" s="336"/>
      <c r="C1" s="336"/>
      <c r="D1" s="336"/>
      <c r="E1" s="336"/>
      <c r="F1" s="336"/>
      <c r="G1" s="337"/>
      <c r="H1" s="337"/>
      <c r="I1" s="337"/>
      <c r="J1" s="605" t="s">
        <v>181</v>
      </c>
      <c r="K1" s="1023"/>
      <c r="L1" s="1024"/>
    </row>
    <row r="2" spans="1:12" ht="3.75" customHeight="1" thickBot="1">
      <c r="A2" s="338"/>
      <c r="B2" s="337"/>
      <c r="C2" s="337"/>
      <c r="D2" s="337"/>
      <c r="E2" s="337"/>
      <c r="F2" s="337"/>
      <c r="G2" s="337"/>
      <c r="H2" s="337"/>
      <c r="I2" s="339"/>
      <c r="J2" s="340"/>
      <c r="K2" s="246"/>
      <c r="L2" s="246"/>
    </row>
    <row r="3" spans="1:14" s="283" customFormat="1" ht="53.25" customHeight="1" thickBot="1">
      <c r="A3" s="341" t="s">
        <v>182</v>
      </c>
      <c r="B3" s="342"/>
      <c r="C3" s="1027" t="s">
        <v>22</v>
      </c>
      <c r="D3" s="1028"/>
      <c r="E3" s="1028"/>
      <c r="F3" s="1028"/>
      <c r="G3" s="1028"/>
      <c r="H3" s="1028"/>
      <c r="I3" s="1028"/>
      <c r="J3" s="1029"/>
      <c r="K3" s="376"/>
      <c r="M3" s="245"/>
      <c r="N3" s="933"/>
    </row>
    <row r="4" spans="1:12" ht="15">
      <c r="A4" s="344" t="s">
        <v>183</v>
      </c>
      <c r="B4" s="345" t="s">
        <v>159</v>
      </c>
      <c r="C4" s="337"/>
      <c r="D4" s="337"/>
      <c r="E4" s="337"/>
      <c r="F4" s="337"/>
      <c r="G4" s="337"/>
      <c r="H4" s="337"/>
      <c r="I4" s="337"/>
      <c r="J4" s="337"/>
      <c r="K4" s="337"/>
      <c r="L4" s="337"/>
    </row>
    <row r="5" spans="1:12" ht="21">
      <c r="A5" s="332"/>
      <c r="B5" s="1025"/>
      <c r="C5" s="1025"/>
      <c r="D5" s="1025"/>
      <c r="E5" s="1026"/>
      <c r="F5" s="1026"/>
      <c r="G5" s="1026"/>
      <c r="H5" s="1026"/>
      <c r="I5" s="1026"/>
      <c r="J5" s="1026"/>
      <c r="K5" s="1026"/>
      <c r="L5" s="1026"/>
    </row>
    <row r="6" spans="1:12" ht="12.75">
      <c r="A6" s="346"/>
      <c r="B6" s="347" t="s">
        <v>283</v>
      </c>
      <c r="C6" s="306"/>
      <c r="D6" s="306"/>
      <c r="E6" s="306"/>
      <c r="F6" s="306"/>
      <c r="G6" s="337"/>
      <c r="H6" s="306"/>
      <c r="I6" s="348"/>
      <c r="J6" s="306"/>
      <c r="K6" s="306"/>
      <c r="L6" s="306"/>
    </row>
    <row r="7" spans="1:12" ht="15">
      <c r="A7" s="346"/>
      <c r="B7" s="345" t="s">
        <v>185</v>
      </c>
      <c r="C7" s="306"/>
      <c r="D7" s="306"/>
      <c r="E7" s="306"/>
      <c r="F7" s="306"/>
      <c r="G7" s="337"/>
      <c r="H7" s="306"/>
      <c r="I7" s="306"/>
      <c r="J7" s="306"/>
      <c r="K7" s="306"/>
      <c r="L7" s="306"/>
    </row>
    <row r="8" spans="1:12" ht="21">
      <c r="A8" s="332"/>
      <c r="B8" s="1025"/>
      <c r="C8" s="1025"/>
      <c r="D8" s="1025"/>
      <c r="E8" s="1026"/>
      <c r="F8" s="1026"/>
      <c r="G8" s="1026"/>
      <c r="H8" s="1026"/>
      <c r="I8" s="1026"/>
      <c r="J8" s="1026"/>
      <c r="K8" s="1026"/>
      <c r="L8" s="1026"/>
    </row>
    <row r="9" spans="1:12" ht="12.75" customHeight="1" thickBot="1">
      <c r="A9" s="346"/>
      <c r="B9" s="347" t="s">
        <v>186</v>
      </c>
      <c r="C9" s="306"/>
      <c r="D9" s="306"/>
      <c r="E9" s="306"/>
      <c r="F9" s="306"/>
      <c r="G9" s="337"/>
      <c r="H9" s="617"/>
      <c r="I9" s="348"/>
      <c r="J9" s="306"/>
      <c r="K9" s="617"/>
      <c r="L9" s="306"/>
    </row>
    <row r="10" spans="1:12" ht="24" thickBot="1" thickTop="1">
      <c r="A10" s="344" t="s">
        <v>306</v>
      </c>
      <c r="B10" s="348"/>
      <c r="C10" s="306"/>
      <c r="D10" s="306"/>
      <c r="E10" s="306"/>
      <c r="F10" s="306"/>
      <c r="G10" s="643" t="s">
        <v>187</v>
      </c>
      <c r="H10" s="867">
        <v>40544</v>
      </c>
      <c r="I10" s="337"/>
      <c r="J10" s="349" t="s">
        <v>188</v>
      </c>
      <c r="K10" s="303">
        <f>IF(H10&lt;37834,"",'Anlg.3 Berechnung'!F13)</f>
        <v>41274</v>
      </c>
      <c r="L10" s="306"/>
    </row>
    <row r="11" spans="1:15" ht="4.5" customHeight="1" thickBot="1" thickTop="1">
      <c r="A11" s="353"/>
      <c r="B11" s="342"/>
      <c r="C11" s="342"/>
      <c r="D11" s="342"/>
      <c r="E11" s="342"/>
      <c r="F11" s="342"/>
      <c r="G11" s="342"/>
      <c r="H11" s="342"/>
      <c r="I11" s="342"/>
      <c r="J11" s="342"/>
      <c r="O11" s="247"/>
    </row>
    <row r="12" spans="1:13" s="348" customFormat="1" ht="18" thickBot="1">
      <c r="A12" s="344" t="s">
        <v>307</v>
      </c>
      <c r="B12" s="715" t="s">
        <v>301</v>
      </c>
      <c r="C12" s="716"/>
      <c r="D12" s="716"/>
      <c r="E12" s="716"/>
      <c r="F12" s="716"/>
      <c r="G12" s="716"/>
      <c r="H12" s="716"/>
      <c r="I12" s="716"/>
      <c r="K12" s="304"/>
      <c r="M12" s="245"/>
    </row>
    <row r="13" spans="2:13" s="348" customFormat="1" ht="7.5" customHeight="1" thickBot="1">
      <c r="B13" s="693"/>
      <c r="K13" s="781"/>
      <c r="M13" s="245"/>
    </row>
    <row r="14" spans="1:11" ht="15.75" thickBot="1">
      <c r="A14" s="344" t="s">
        <v>308</v>
      </c>
      <c r="B14" s="356" t="s">
        <v>323</v>
      </c>
      <c r="C14" s="358"/>
      <c r="D14" s="358"/>
      <c r="E14" s="358"/>
      <c r="F14" s="358"/>
      <c r="G14" s="692"/>
      <c r="H14" s="717" t="s">
        <v>293</v>
      </c>
      <c r="I14" s="717" t="s">
        <v>294</v>
      </c>
      <c r="J14" s="712" t="s">
        <v>305</v>
      </c>
      <c r="K14" s="782"/>
    </row>
    <row r="15" spans="1:11" ht="16.5" thickBot="1" thickTop="1">
      <c r="A15" s="344"/>
      <c r="B15" s="789" t="s">
        <v>321</v>
      </c>
      <c r="C15" s="358"/>
      <c r="D15" s="358"/>
      <c r="E15" s="358"/>
      <c r="F15" s="358"/>
      <c r="G15" s="713" t="s">
        <v>295</v>
      </c>
      <c r="H15" s="734"/>
      <c r="I15" s="735"/>
      <c r="J15" s="712" t="s">
        <v>319</v>
      </c>
      <c r="K15" s="782"/>
    </row>
    <row r="16" spans="1:11" ht="15.75" thickBot="1">
      <c r="A16" s="344"/>
      <c r="B16" s="796" t="s">
        <v>336</v>
      </c>
      <c r="C16" s="358"/>
      <c r="D16" s="358"/>
      <c r="E16" s="358"/>
      <c r="F16" s="358"/>
      <c r="G16" s="714" t="s">
        <v>296</v>
      </c>
      <c r="H16" s="736"/>
      <c r="I16" s="737"/>
      <c r="J16" s="712" t="s">
        <v>320</v>
      </c>
      <c r="K16" s="782"/>
    </row>
    <row r="17" spans="1:15" ht="8.25" customHeight="1" thickBot="1">
      <c r="A17" s="353"/>
      <c r="B17" s="342"/>
      <c r="C17" s="342"/>
      <c r="D17" s="342"/>
      <c r="E17" s="342"/>
      <c r="F17" s="342"/>
      <c r="G17" s="342"/>
      <c r="H17" s="342"/>
      <c r="I17" s="342"/>
      <c r="J17" s="342"/>
      <c r="L17" s="337"/>
      <c r="O17" s="247"/>
    </row>
    <row r="18" spans="1:13" s="247" customFormat="1" ht="19.5" customHeight="1" thickBot="1">
      <c r="A18" s="354" t="s">
        <v>415</v>
      </c>
      <c r="B18" s="1047" t="s">
        <v>284</v>
      </c>
      <c r="C18" s="1048"/>
      <c r="D18" s="1048"/>
      <c r="E18" s="1048"/>
      <c r="F18" s="1048"/>
      <c r="G18" s="1048"/>
      <c r="H18" s="1048"/>
      <c r="I18" s="1048"/>
      <c r="J18" s="1049"/>
      <c r="K18" s="304"/>
      <c r="L18" s="352"/>
      <c r="M18" s="245"/>
    </row>
    <row r="19" spans="1:13" s="247" customFormat="1" ht="13.5" customHeight="1" thickBot="1">
      <c r="A19" s="351"/>
      <c r="B19" s="795"/>
      <c r="C19" s="942"/>
      <c r="D19" s="942"/>
      <c r="E19" s="942"/>
      <c r="F19" s="942"/>
      <c r="G19" s="942"/>
      <c r="H19" s="942"/>
      <c r="I19" s="942"/>
      <c r="J19" s="794" t="str">
        <f>IF(K12="Folgeantrag","","[Die Bescheinigung nach § 9 Abs. 2 PfG NW ist als Anlage zum Erstantrag beizufügen.] ")</f>
        <v>[Die Bescheinigung nach § 9 Abs. 2 PfG NW ist als Anlage zum Erstantrag beizufügen.] </v>
      </c>
      <c r="K19" s="302"/>
      <c r="L19" s="352"/>
      <c r="M19" s="245"/>
    </row>
    <row r="20" spans="1:14" s="247" customFormat="1" ht="19.5" customHeight="1" thickBot="1">
      <c r="A20" s="354" t="s">
        <v>416</v>
      </c>
      <c r="B20" s="931" t="s">
        <v>15</v>
      </c>
      <c r="C20" s="932"/>
      <c r="D20" s="932"/>
      <c r="E20" s="932"/>
      <c r="F20" s="932"/>
      <c r="G20" s="932"/>
      <c r="H20" s="932"/>
      <c r="I20" s="932"/>
      <c r="J20" s="818" t="s">
        <v>417</v>
      </c>
      <c r="K20" s="304"/>
      <c r="M20" s="245"/>
      <c r="N20" s="938"/>
    </row>
    <row r="21" spans="1:14" ht="58.5" customHeight="1">
      <c r="A21" s="353"/>
      <c r="B21" s="1041" t="s">
        <v>16</v>
      </c>
      <c r="C21" s="1041"/>
      <c r="D21" s="1041"/>
      <c r="E21" s="1041"/>
      <c r="F21" s="1041"/>
      <c r="G21" s="1041"/>
      <c r="H21" s="1041"/>
      <c r="I21" s="1041"/>
      <c r="J21" s="1042"/>
      <c r="K21" s="930"/>
      <c r="N21" s="955"/>
    </row>
    <row r="22" spans="1:14" ht="30.75" customHeight="1">
      <c r="A22" s="353"/>
      <c r="B22" s="1052" t="str">
        <f>IF(K14="Folgeantrag","","[Wenn der Antrag nach  § 1 Abs. 1 AllgFörderPflegeVO vor dem 01.07.2008 gestellt wurde, ist dieser
  sowie die daraufhin erteilte Abstimmungsbescheinigung als Anlage dem Erstantrag beizufügen. ]")</f>
        <v>[Wenn der Antrag nach  § 1 Abs. 1 AllgFörderPflegeVO vor dem 01.07.2008 gestellt wurde, ist dieser
  sowie die daraufhin erteilte Abstimmungsbescheinigung als Anlage dem Erstantrag beizufügen. ]</v>
      </c>
      <c r="C22" s="1052"/>
      <c r="D22" s="1052"/>
      <c r="E22" s="1052"/>
      <c r="F22" s="1052"/>
      <c r="G22" s="1052"/>
      <c r="H22" s="1052"/>
      <c r="I22" s="1052"/>
      <c r="J22" s="1053"/>
      <c r="N22" s="955"/>
    </row>
    <row r="23" spans="1:14" ht="17.25" customHeight="1" thickBot="1">
      <c r="A23" s="354" t="s">
        <v>23</v>
      </c>
      <c r="B23" s="931" t="str">
        <f>IF(OR(AND(K20="",H15=""),AND(K20="nein",H15="x")),"Besondere AfA-Regelung für Einrichtungen im Eigentum ohne Übergangsregelung:","entfällt")</f>
        <v>Besondere AfA-Regelung für Einrichtungen im Eigentum ohne Übergangsregelung:</v>
      </c>
      <c r="C23" s="929"/>
      <c r="D23" s="929"/>
      <c r="E23" s="929"/>
      <c r="F23" s="929"/>
      <c r="G23" s="929"/>
      <c r="H23" s="929"/>
      <c r="I23" s="929"/>
      <c r="J23" s="361" t="str">
        <f>IF(OR(AND(K20="",H15=""),AND(K20="nein",H15="x")),"( vgl. Ziffer 2.b) ","")</f>
        <v>( vgl. Ziffer 2.b) </v>
      </c>
      <c r="N23" s="1039"/>
    </row>
    <row r="24" spans="1:14" ht="17.25" customHeight="1" thickBot="1">
      <c r="A24" s="354"/>
      <c r="B24" s="931" t="str">
        <f>IF(J23="","","Nennbetrag der nach dem 01.07.08. aufgenommenen, bestehenden, zinsgünstigen Darlehen:")</f>
        <v>Nennbetrag der nach dem 01.07.08. aufgenommenen, bestehenden, zinsgünstigen Darlehen:</v>
      </c>
      <c r="C24" s="929"/>
      <c r="D24" s="929"/>
      <c r="E24" s="929"/>
      <c r="F24" s="929"/>
      <c r="G24" s="929"/>
      <c r="H24" s="929"/>
      <c r="I24" s="929"/>
      <c r="J24" s="337"/>
      <c r="K24" s="335"/>
      <c r="N24" s="1040"/>
    </row>
    <row r="25" spans="1:14" ht="15.75" customHeight="1" thickBot="1">
      <c r="A25" s="354"/>
      <c r="B25" s="937" t="str">
        <f>IF(J23="","","[Eine Kopie des Darlehensvertrages ist als Anlage zum Erstantrag beizufügen.] ")</f>
        <v>[Eine Kopie des Darlehensvertrages ist als Anlage zum Erstantrag beizufügen.] </v>
      </c>
      <c r="C25" s="929"/>
      <c r="D25" s="929"/>
      <c r="E25" s="929"/>
      <c r="F25" s="929"/>
      <c r="G25" s="929"/>
      <c r="H25" s="929"/>
      <c r="I25" s="929"/>
      <c r="J25" s="818" t="str">
        <f>IF(J23="",""," (§ 4 Abs. 1 Satz 7 GesBerVO) ")</f>
        <v> (§ 4 Abs. 1 Satz 7 GesBerVO) </v>
      </c>
      <c r="N25" s="1040"/>
    </row>
    <row r="26" spans="1:15" ht="21" thickBot="1">
      <c r="A26" s="354" t="s">
        <v>231</v>
      </c>
      <c r="B26" s="355" t="s">
        <v>263</v>
      </c>
      <c r="C26" s="342"/>
      <c r="D26" s="342"/>
      <c r="E26" s="342"/>
      <c r="F26" s="718"/>
      <c r="G26" s="718"/>
      <c r="H26" s="718"/>
      <c r="I26" s="718"/>
      <c r="J26" s="342"/>
      <c r="K26" s="304"/>
      <c r="L26" s="337"/>
      <c r="O26" s="247"/>
    </row>
    <row r="27" spans="1:15" ht="4.5" customHeight="1" thickBot="1">
      <c r="A27" s="353"/>
      <c r="B27" s="342"/>
      <c r="C27" s="342"/>
      <c r="D27" s="342"/>
      <c r="E27" s="342"/>
      <c r="F27" s="342"/>
      <c r="G27" s="342"/>
      <c r="H27" s="342"/>
      <c r="I27" s="342"/>
      <c r="J27" s="342"/>
      <c r="L27" s="337"/>
      <c r="O27" s="247"/>
    </row>
    <row r="28" spans="1:15" ht="15.75" thickBot="1">
      <c r="A28" s="344" t="s">
        <v>232</v>
      </c>
      <c r="B28" s="356" t="s">
        <v>275</v>
      </c>
      <c r="C28" s="342"/>
      <c r="D28" s="342"/>
      <c r="E28" s="342"/>
      <c r="F28" s="342"/>
      <c r="G28" s="342"/>
      <c r="H28" s="342"/>
      <c r="I28" s="342"/>
      <c r="J28" s="616" t="s">
        <v>326</v>
      </c>
      <c r="K28" s="333"/>
      <c r="L28" s="357"/>
      <c r="O28" s="247"/>
    </row>
    <row r="29" spans="1:15" ht="15.75" thickBot="1">
      <c r="A29" s="344" t="s">
        <v>233</v>
      </c>
      <c r="B29" s="719" t="str">
        <f>IF(OR(K26="",K26="vollstationäre Pflege"),"(davon eingestreute Kurzzeitpflege)","entfällt")</f>
        <v>(davon eingestreute Kurzzeitpflege)</v>
      </c>
      <c r="C29" s="708"/>
      <c r="D29" s="342"/>
      <c r="E29" s="342"/>
      <c r="F29" s="342"/>
      <c r="G29" s="342"/>
      <c r="H29" s="342"/>
      <c r="I29" s="342"/>
      <c r="J29" s="694"/>
      <c r="K29" s="333"/>
      <c r="L29" s="357"/>
      <c r="O29" s="247"/>
    </row>
    <row r="30" spans="1:15" ht="16.5" customHeight="1" thickBot="1">
      <c r="A30" s="344" t="s">
        <v>408</v>
      </c>
      <c r="B30" s="709" t="str">
        <f>IF(OR(K26="",K26="vollstationäre Pflege"),"Anzahl Einbettzimmer","entfällt")</f>
        <v>Anzahl Einbettzimmer</v>
      </c>
      <c r="C30" s="710"/>
      <c r="D30" s="359"/>
      <c r="E30" s="359"/>
      <c r="F30" s="360"/>
      <c r="G30" s="361"/>
      <c r="H30" s="359"/>
      <c r="I30" s="359"/>
      <c r="J30" s="694"/>
      <c r="K30" s="333"/>
      <c r="L30" s="357"/>
      <c r="O30" s="247"/>
    </row>
    <row r="31" spans="1:15" ht="16.5" customHeight="1" thickBot="1">
      <c r="A31" s="344"/>
      <c r="B31" s="709" t="str">
        <f>IF(B30="entfällt","entfällt","Differenzbetrag zum Mehrbettzimmer, täglich")</f>
        <v>Differenzbetrag zum Mehrbettzimmer, täglich</v>
      </c>
      <c r="C31" s="709"/>
      <c r="D31" s="359"/>
      <c r="E31" s="362"/>
      <c r="F31" s="359"/>
      <c r="G31" s="361"/>
      <c r="H31" s="363"/>
      <c r="I31" s="359"/>
      <c r="J31" s="694"/>
      <c r="K31" s="334"/>
      <c r="L31" s="364"/>
      <c r="N31" s="952"/>
      <c r="O31" s="247"/>
    </row>
    <row r="32" spans="1:15" ht="6.75" customHeight="1" thickBot="1">
      <c r="A32" s="353"/>
      <c r="B32" s="342"/>
      <c r="C32" s="342"/>
      <c r="D32" s="342"/>
      <c r="E32" s="342"/>
      <c r="F32" s="342"/>
      <c r="G32" s="342"/>
      <c r="H32" s="342"/>
      <c r="I32" s="342"/>
      <c r="J32" s="342"/>
      <c r="L32" s="337"/>
      <c r="O32" s="247"/>
    </row>
    <row r="33" spans="1:15" ht="15.75" thickBot="1">
      <c r="A33" s="344" t="s">
        <v>235</v>
      </c>
      <c r="B33" s="356" t="s">
        <v>234</v>
      </c>
      <c r="C33" s="359"/>
      <c r="D33" s="359"/>
      <c r="E33" s="359"/>
      <c r="F33" s="359"/>
      <c r="G33" s="359"/>
      <c r="H33" s="615"/>
      <c r="I33" s="359"/>
      <c r="J33" s="359"/>
      <c r="K33" s="630"/>
      <c r="L33" s="364"/>
      <c r="O33" s="247"/>
    </row>
    <row r="34" spans="1:14" ht="18" thickBot="1" thickTop="1">
      <c r="A34" s="344" t="s">
        <v>236</v>
      </c>
      <c r="B34" s="629" t="s">
        <v>17</v>
      </c>
      <c r="C34" s="342"/>
      <c r="D34" s="342"/>
      <c r="E34" s="342"/>
      <c r="F34" s="342"/>
      <c r="G34" s="342"/>
      <c r="H34" s="342"/>
      <c r="I34" s="342"/>
      <c r="J34" s="818" t="s">
        <v>276</v>
      </c>
      <c r="K34" s="631"/>
      <c r="L34" s="364"/>
      <c r="N34" s="955"/>
    </row>
    <row r="35" spans="1:12" ht="7.5" customHeight="1" thickTop="1">
      <c r="A35" s="344"/>
      <c r="B35" s="629"/>
      <c r="C35" s="342"/>
      <c r="D35" s="342"/>
      <c r="E35" s="342"/>
      <c r="F35" s="342"/>
      <c r="G35" s="342"/>
      <c r="H35" s="342"/>
      <c r="I35" s="342"/>
      <c r="J35" s="361"/>
      <c r="K35" s="782"/>
      <c r="L35" s="364"/>
    </row>
    <row r="36" spans="1:12" ht="22.5" customHeight="1" thickBot="1">
      <c r="A36" s="720" t="s">
        <v>237</v>
      </c>
      <c r="B36" s="792" t="str">
        <f>IF(OR(I15="x",I16="x",H15=""),"Mietverträge: Aktuelle Mieten für den o.g. Antragszeitraum pro Jahr","entfällt")</f>
        <v>Mietverträge: Aktuelle Mieten für den o.g. Antragszeitraum pro Jahr</v>
      </c>
      <c r="C36" s="342"/>
      <c r="D36" s="342"/>
      <c r="E36" s="342"/>
      <c r="F36" s="342"/>
      <c r="G36" s="342"/>
      <c r="H36" s="342"/>
      <c r="I36" s="342"/>
      <c r="J36" s="342"/>
      <c r="L36" s="337"/>
    </row>
    <row r="37" spans="1:12" ht="15" customHeight="1" thickBot="1">
      <c r="A37" s="721" t="s">
        <v>238</v>
      </c>
      <c r="B37" s="709" t="str">
        <f>IF(OR(I15="x",AND(H15="",I15="")),"Mieten für das Gebäude (ggfls. zuzüglich Inventarmiete)","entfällt")</f>
        <v>Mieten für das Gebäude (ggfls. zuzüglich Inventarmiete)</v>
      </c>
      <c r="C37" s="342"/>
      <c r="D37" s="342"/>
      <c r="E37" s="342"/>
      <c r="F37" s="342"/>
      <c r="G37" s="342"/>
      <c r="H37" s="342"/>
      <c r="I37" s="342"/>
      <c r="J37" s="793" t="str">
        <f>IF(B47="","",IF(K12="Folgeantrag","","[Erstantrag = mit Kopie Mietverträge]"))</f>
        <v>[Erstantrag = mit Kopie Mietverträge]</v>
      </c>
      <c r="K37" s="335"/>
      <c r="L37" s="364"/>
    </row>
    <row r="38" spans="1:12" ht="15.75" thickBot="1">
      <c r="A38" s="721" t="s">
        <v>239</v>
      </c>
      <c r="B38" s="709" t="str">
        <f>IF(OR(AND(I16="x",H15="x"),AND(H16="",I16="")),"Mieten für das Inventar (bei Gebäudeeigentum)","entfällt")</f>
        <v>Mieten für das Inventar (bei Gebäudeeigentum)</v>
      </c>
      <c r="C38" s="342"/>
      <c r="D38" s="342"/>
      <c r="E38" s="342"/>
      <c r="F38" s="342"/>
      <c r="G38" s="342"/>
      <c r="H38" s="342"/>
      <c r="I38" s="342"/>
      <c r="J38" s="794" t="str">
        <f>IF(B38&lt;&gt;"entfällt","[ Zu erfassen ist 100% der Miete. ]","")</f>
        <v>[ Zu erfassen ist 100% der Miete. ]</v>
      </c>
      <c r="K38" s="335"/>
      <c r="L38" s="364"/>
    </row>
    <row r="39" spans="1:12" ht="6.75" customHeight="1" thickBot="1">
      <c r="A39" s="722"/>
      <c r="B39" s="708"/>
      <c r="C39" s="342"/>
      <c r="D39" s="342"/>
      <c r="E39" s="342"/>
      <c r="F39" s="342"/>
      <c r="G39" s="342"/>
      <c r="H39" s="342"/>
      <c r="I39" s="342"/>
      <c r="J39" s="342"/>
      <c r="L39" s="337"/>
    </row>
    <row r="40" spans="1:12" ht="21" thickBot="1">
      <c r="A40" s="720" t="s">
        <v>240</v>
      </c>
      <c r="B40" s="723" t="str">
        <f>IF(K12="Erstantrag","entfällt","Zeitpunkt der Neuregelung nach dem 01.08.2003:")</f>
        <v>Zeitpunkt der Neuregelung nach dem 01.08.2003:</v>
      </c>
      <c r="C40" s="342"/>
      <c r="D40" s="342"/>
      <c r="E40" s="342"/>
      <c r="F40" s="342"/>
      <c r="G40" s="342"/>
      <c r="H40" s="342"/>
      <c r="I40" s="708"/>
      <c r="J40" s="794" t="str">
        <f>IF(K12="Erstantrag","","[ = Basis für die Fortschreibung ] ")</f>
        <v>[ = Basis für die Fortschreibung ] </v>
      </c>
      <c r="K40" s="374"/>
      <c r="L40" s="337"/>
    </row>
    <row r="41" spans="1:12" ht="17.25">
      <c r="A41" s="720"/>
      <c r="B41" s="802" t="str">
        <f>IF(K12="Erstantrag","","(Inbetriebnahmedatum für Neubauten bzw. Datum der Fertigstellung von Umbaumaßnahmen)")</f>
        <v>(Inbetriebnahmedatum für Neubauten bzw. Datum der Fertigstellung von Umbaumaßnahmen)</v>
      </c>
      <c r="C41" s="342"/>
      <c r="D41" s="342"/>
      <c r="E41" s="342"/>
      <c r="F41" s="342"/>
      <c r="G41" s="342"/>
      <c r="H41" s="342"/>
      <c r="I41" s="708"/>
      <c r="K41" s="840"/>
      <c r="L41" s="337"/>
    </row>
    <row r="42" spans="1:11" ht="19.5" customHeight="1" thickBot="1">
      <c r="A42" s="721" t="s">
        <v>241</v>
      </c>
      <c r="B42" s="724" t="str">
        <f>IF(OR(K12="",AND(H15="x")),"Kosten: als Basis für die Sonderbettenwertberechnung (Eigentum)",IF(AND(H16="x",H15=""),"Kosten: als Basis für die Teilbettenwertberechnung (Eigentum)","entfällt"))</f>
        <v>Kosten: als Basis für die Sonderbettenwertberechnung (Eigentum)</v>
      </c>
      <c r="C42" s="358"/>
      <c r="D42" s="358"/>
      <c r="E42" s="358"/>
      <c r="F42" s="358"/>
      <c r="G42" s="358"/>
      <c r="H42" s="358"/>
      <c r="I42" s="719"/>
      <c r="J42" s="719"/>
      <c r="K42" s="783"/>
    </row>
    <row r="43" spans="1:12" ht="17.25" customHeight="1" thickBot="1">
      <c r="A43" s="721" t="s">
        <v>297</v>
      </c>
      <c r="B43" s="709" t="str">
        <f>IF(B42="entfällt","entfällt",IF(OR(K12="",AND(H15="x",H16="x")),"Kosten für Gebäude und Erstbeschaffung Inventar ",IF(H15="x","Kosten für Gebäude ","Kosten für Erstbeschaffung Inventar ")))</f>
        <v>Kosten für Gebäude und Erstbeschaffung Inventar </v>
      </c>
      <c r="C43" s="342"/>
      <c r="D43" s="342"/>
      <c r="E43" s="342"/>
      <c r="F43" s="342"/>
      <c r="G43" s="342"/>
      <c r="H43" s="342"/>
      <c r="I43" s="708"/>
      <c r="J43" s="794" t="str">
        <f>IF(B43="entfällt","",IF(K12="Erstantrag","[Erstantrag immer mit Anlage 4  - Kostennachweis -]","[ Kosten lt. Anlage 4 - Kostennachweis - ]"))</f>
        <v>[ Kosten lt. Anlage 4 - Kostennachweis - ]</v>
      </c>
      <c r="K43" s="335"/>
      <c r="L43" s="364"/>
    </row>
    <row r="44" spans="1:12" ht="15.75" thickBot="1">
      <c r="A44" s="721" t="s">
        <v>298</v>
      </c>
      <c r="B44" s="725" t="str">
        <f>IF(B43="entfällt","entfällt","Handelt es sich dabei um einen endgültigen oder um einen vorläufigen Kostennachweis ?")</f>
        <v>Handelt es sich dabei um einen endgültigen oder um einen vorläufigen Kostennachweis ?</v>
      </c>
      <c r="C44" s="642"/>
      <c r="D44" s="642"/>
      <c r="E44" s="52"/>
      <c r="F44" s="366"/>
      <c r="G44" s="356"/>
      <c r="H44" s="342"/>
      <c r="I44" s="708"/>
      <c r="J44" s="708"/>
      <c r="K44" s="318"/>
      <c r="L44" s="337"/>
    </row>
    <row r="45" spans="1:12" ht="15">
      <c r="A45" s="721"/>
      <c r="B45" s="725"/>
      <c r="C45" s="642"/>
      <c r="D45" s="642"/>
      <c r="E45" s="52"/>
      <c r="F45" s="366"/>
      <c r="G45" s="356"/>
      <c r="H45" s="342"/>
      <c r="I45" s="708"/>
      <c r="J45" s="794" t="str">
        <f>IF(OR(H15="x",H16="x",AND(H15="",H16="",I15="")),"[ Eine Indexierung der Kosten erfolgt erst durch Vorlage des endgültigen Kostennachweises. ]","")</f>
        <v>[ Eine Indexierung der Kosten erfolgt erst durch Vorlage des endgültigen Kostennachweises. ]</v>
      </c>
      <c r="K45" s="841"/>
      <c r="L45" s="337"/>
    </row>
    <row r="46" spans="1:11" ht="19.5" customHeight="1">
      <c r="A46" s="721" t="s">
        <v>242</v>
      </c>
      <c r="B46" s="724" t="str">
        <f>IF(K12="Erstantrag","entfällt",IF(OR(I15="x",I16="x",AND(H15="",H16="")),"Fortschreibungsbeginn bei Miete:","entfällt"))</f>
        <v>Fortschreibungsbeginn bei Miete:</v>
      </c>
      <c r="C46" s="358"/>
      <c r="D46" s="358"/>
      <c r="E46" s="358"/>
      <c r="F46" s="358"/>
      <c r="G46" s="358"/>
      <c r="H46" s="358"/>
      <c r="I46" s="719"/>
      <c r="K46" s="783"/>
    </row>
    <row r="47" spans="1:12" ht="17.25">
      <c r="A47" s="721"/>
      <c r="B47" s="715" t="str">
        <f>IF(B46="entfällt","","Basis = anerkannte Aufwendungen bei Miete vor ( ! ) Fortschreibung")</f>
        <v>Basis = anerkannte Aufwendungen bei Miete vor ( ! ) Fortschreibung</v>
      </c>
      <c r="C47" s="342"/>
      <c r="D47" s="342"/>
      <c r="E47" s="342"/>
      <c r="F47" s="342"/>
      <c r="G47" s="342"/>
      <c r="H47" s="342"/>
      <c r="I47" s="708"/>
      <c r="J47" s="727"/>
      <c r="L47" s="364"/>
    </row>
    <row r="48" spans="1:12" ht="15.75" thickBot="1">
      <c r="A48" s="721"/>
      <c r="C48" s="342"/>
      <c r="D48" s="342"/>
      <c r="E48" s="342"/>
      <c r="F48" s="342"/>
      <c r="G48" s="342"/>
      <c r="H48" s="342"/>
      <c r="I48" s="708"/>
      <c r="J48" s="793">
        <f>IF(B47="","",IF(K12="Folgeantrag",IF(AND(H15="x",I16="x"),"[Bei erstmaliger Vorlage des endgültigen Kostennachweises ist die Anlage 6 zu verändern.]","[Bei erstmaliger Vorlage des endgültigen Kostennachweises ist die Anlage 5 zu verändern.]"),""))</f>
      </c>
      <c r="L48" s="364"/>
    </row>
    <row r="49" spans="1:12" ht="15.75" thickBot="1">
      <c r="A49" s="344" t="s">
        <v>299</v>
      </c>
      <c r="B49" s="728" t="str">
        <f>IF(K12="Erstantrag","entfällt",IF(OR(I15="x",AND(H15="",H16="")),"Anfangs anerkannte Gesamtmiete (Gebäude zuzügl. ggfls. Inventar)","entfällt"))</f>
        <v>Anfangs anerkannte Gesamtmiete (Gebäude zuzügl. ggfls. Inventar)</v>
      </c>
      <c r="C49" s="342"/>
      <c r="D49" s="342"/>
      <c r="E49" s="342"/>
      <c r="F49" s="342"/>
      <c r="G49" s="342"/>
      <c r="H49" s="342"/>
      <c r="I49" s="708"/>
      <c r="J49" s="801" t="str">
        <f>IF(B49="entfällt","",IF(K12="Folgeantrag","[Ergebnis aus Anlage 5]"," [Anlage 5 zum Erstantrag] "))</f>
        <v> [Anlage 5 zum Erstantrag] </v>
      </c>
      <c r="K49" s="695"/>
      <c r="L49" s="364"/>
    </row>
    <row r="50" spans="1:12" ht="15">
      <c r="A50" s="344" t="s">
        <v>300</v>
      </c>
      <c r="B50" s="709" t="str">
        <f>IF(K12="Erstantrag","entfällt",IF(OR(AND(H15="x",I16="x",I15=""),AND(H15="",H16="",I15="")),"Anfangs anerkannte Inventarmiete (bei Gebäudeeigentum)","entfällt"))</f>
        <v>Anfangs anerkannte Inventarmiete (bei Gebäudeeigentum)</v>
      </c>
      <c r="C50" s="342"/>
      <c r="D50" s="342"/>
      <c r="E50" s="342"/>
      <c r="F50" s="342"/>
      <c r="G50" s="342"/>
      <c r="H50" s="342"/>
      <c r="I50" s="708"/>
      <c r="J50" s="801" t="str">
        <f>IF(J51="","",IF(K12="Folgeantrag",""," [Anlage 6 zum Erstantrag] "))</f>
        <v> [Anlage 6 zum Erstantrag] </v>
      </c>
      <c r="K50" s="1043"/>
      <c r="L50" s="364"/>
    </row>
    <row r="51" spans="1:12" ht="15" customHeight="1" thickBot="1">
      <c r="A51" s="344"/>
      <c r="B51" s="842" t="str">
        <f>IF(B50="entfällt","",IF(K44&lt;&gt;"vorläufiger KN","[Sobald endgültiger KN,siehe Erfassung in Anlg 6]",""))</f>
        <v>[Sobald endgültiger KN,siehe Erfassung in Anlg 6]</v>
      </c>
      <c r="C51" s="342"/>
      <c r="D51" s="342"/>
      <c r="E51" s="342"/>
      <c r="F51" s="342"/>
      <c r="G51" s="342"/>
      <c r="H51" s="342"/>
      <c r="I51" s="708"/>
      <c r="J51" s="793" t="str">
        <f>IF(B50="entfällt","","[Zu erfassen ist das 30%-Ergebnis aus der Anlage 6]")</f>
        <v>[Zu erfassen ist das 30%-Ergebnis aus der Anlage 6]</v>
      </c>
      <c r="K51" s="1044"/>
      <c r="L51" s="364"/>
    </row>
    <row r="52" spans="1:12" ht="24" customHeight="1">
      <c r="A52" s="365" t="s">
        <v>243</v>
      </c>
      <c r="B52" s="729" t="str">
        <f>IF(OR(H15="x",H16="x",AND(I15="",I16="")),"Verzinsung","entfällt")</f>
        <v>Verzinsung</v>
      </c>
      <c r="C52" s="342"/>
      <c r="D52" s="726" t="str">
        <f>IF(B52="entfällt","",IF(K12&lt;&gt;"Folgeantrag","[Erstantrag = Kopie der Darlehensverträge beifügen]",""))</f>
        <v>[Erstantrag = Kopie der Darlehensverträge beifügen]</v>
      </c>
      <c r="E52" s="342"/>
      <c r="F52" s="342"/>
      <c r="G52" s="342"/>
      <c r="I52" s="1045" t="str">
        <f>IF(B52="entfällt",""," [lt. Anlage 1] ")</f>
        <v> [lt. Anlage 1] </v>
      </c>
      <c r="J52" s="1046"/>
      <c r="L52" s="337"/>
    </row>
    <row r="53" spans="1:12" ht="15.75" thickBot="1">
      <c r="A53" s="344" t="s">
        <v>244</v>
      </c>
      <c r="B53" s="709" t="str">
        <f>IF(B52="entfällt","entfällt","Zinsverrechnung "&amp;YEAR(K10)-4)</f>
        <v>Zinsverrechnung 2008</v>
      </c>
      <c r="C53" s="342"/>
      <c r="D53" s="342"/>
      <c r="E53" s="342"/>
      <c r="F53" s="342"/>
      <c r="G53" s="342"/>
      <c r="H53" s="784">
        <f>IF(H10&lt;&gt;"","","Die Meldung '#WERT!' entfällt, sobald das Antragsdatum")</f>
      </c>
      <c r="I53" s="342"/>
      <c r="J53" s="342"/>
      <c r="L53" s="337"/>
    </row>
    <row r="54" spans="1:12" ht="15.75" thickBot="1">
      <c r="A54" s="344" t="s">
        <v>245</v>
      </c>
      <c r="B54" s="709" t="str">
        <f>IF(B52="entfällt","entfällt","     anerkannte Verzinsung "&amp;YEAR(K10)-4)</f>
        <v>     anerkannte Verzinsung 2008</v>
      </c>
      <c r="C54" s="342"/>
      <c r="D54" s="342"/>
      <c r="E54" s="342"/>
      <c r="F54" s="342"/>
      <c r="G54" s="342"/>
      <c r="H54" s="784">
        <f>IF(H10&lt;&gt;"","","'hier: Antrag auf Neuregelung ab dem:'  erfasst wird.")</f>
      </c>
      <c r="I54" s="342"/>
      <c r="J54" s="342"/>
      <c r="K54" s="335"/>
      <c r="L54" s="364"/>
    </row>
    <row r="55" spans="1:12" ht="15.75" thickBot="1">
      <c r="A55" s="344" t="s">
        <v>246</v>
      </c>
      <c r="B55" s="709" t="str">
        <f>IF(B52="entfällt","entfällt","     kalkulierte Verzinsung "&amp;YEAR(K10)-4)</f>
        <v>     kalkulierte Verzinsung 2008</v>
      </c>
      <c r="C55" s="342"/>
      <c r="D55" s="342"/>
      <c r="F55" s="853" t="str">
        <f>IF(OR(B55="",B55="entfällt"),"","( vgl. grds. Bescheid "&amp;YEAR(K10)-3&amp;", Kalk. Ansatz "&amp;YEAR(K10)-4&amp;" = Kalk. "&amp;YEAR(K10)-5&amp;" )")</f>
        <v>( vgl. grds. Bescheid 2009, Kalk. Ansatz 2008 = Kalk. 2007 )</v>
      </c>
      <c r="G55" s="342"/>
      <c r="H55" s="342"/>
      <c r="I55" s="342"/>
      <c r="J55" s="342"/>
      <c r="K55" s="335"/>
      <c r="L55" s="364"/>
    </row>
    <row r="56" spans="1:12" ht="19.5" customHeight="1" thickBot="1">
      <c r="A56" s="344" t="s">
        <v>247</v>
      </c>
      <c r="B56" s="730" t="str">
        <f>IF(B52="entfällt","entfällt","Zinsverrechnung "&amp;YEAR(K10)-3)</f>
        <v>Zinsverrechnung 2009</v>
      </c>
      <c r="C56" s="342"/>
      <c r="D56" s="342"/>
      <c r="E56" s="342"/>
      <c r="F56" s="342"/>
      <c r="G56" s="342"/>
      <c r="H56" s="342"/>
      <c r="I56" s="342"/>
      <c r="J56" s="616"/>
      <c r="L56" s="337"/>
    </row>
    <row r="57" spans="1:12" ht="15.75" thickBot="1">
      <c r="A57" s="344" t="s">
        <v>249</v>
      </c>
      <c r="B57" s="709" t="str">
        <f>IF(B52="entfällt","entfällt","     anerkannte Verzinsung "&amp;YEAR(K10)-3)</f>
        <v>     anerkannte Verzinsung 2009</v>
      </c>
      <c r="C57" s="342"/>
      <c r="D57" s="342"/>
      <c r="E57" s="342"/>
      <c r="F57" s="342"/>
      <c r="G57" s="342"/>
      <c r="H57" s="342"/>
      <c r="I57" s="342"/>
      <c r="J57" s="342"/>
      <c r="K57" s="335"/>
      <c r="L57" s="364"/>
    </row>
    <row r="58" spans="1:12" ht="15.75" thickBot="1">
      <c r="A58" s="344" t="s">
        <v>248</v>
      </c>
      <c r="B58" s="709" t="str">
        <f>IF(B52="entfällt","entfällt","     kalkulierte Verzinsung "&amp;YEAR(K10)-3)</f>
        <v>     kalkulierte Verzinsung 2009</v>
      </c>
      <c r="C58" s="342"/>
      <c r="D58" s="342"/>
      <c r="F58" s="853" t="str">
        <f>IF(OR(B58="",B58="entfällt"),"","( vgl. grds. Bescheid "&amp;YEAR(K10)-3&amp;" = Kalk. Ansatz "&amp;YEAR(K10)-3&amp;" )")</f>
        <v>( vgl. grds. Bescheid 2009 = Kalk. Ansatz 2009 )</v>
      </c>
      <c r="G58" s="342"/>
      <c r="H58" s="342"/>
      <c r="I58" s="342"/>
      <c r="J58" s="342"/>
      <c r="K58" s="335"/>
      <c r="L58" s="364"/>
    </row>
    <row r="59" spans="1:12" ht="15.75" thickBot="1">
      <c r="A59" s="344" t="s">
        <v>250</v>
      </c>
      <c r="B59" s="1050" t="str">
        <f>IF(B52="entfällt","entfällt","Kalkulationsansatz Verzinsung "&amp;IF(H10&lt;37834," !  Entfällt, da falscher Zeitraum  !",YEAR(H10)))</f>
        <v>Kalkulationsansatz Verzinsung 2011</v>
      </c>
      <c r="C59" s="1051"/>
      <c r="D59" s="1051"/>
      <c r="E59" s="1051"/>
      <c r="F59" s="853" t="str">
        <f>IF(B59="entfällt","","( Hochrechnung pro Jahr )")</f>
        <v>( Hochrechnung pro Jahr )</v>
      </c>
      <c r="G59" s="342"/>
      <c r="H59" s="342"/>
      <c r="I59" s="342"/>
      <c r="J59" s="342"/>
      <c r="K59" s="335"/>
      <c r="L59" s="364"/>
    </row>
    <row r="60" spans="1:12" ht="6.75" customHeight="1" thickBot="1">
      <c r="A60" s="353"/>
      <c r="B60" s="711"/>
      <c r="C60" s="342"/>
      <c r="D60" s="342"/>
      <c r="E60" s="342"/>
      <c r="F60" s="342"/>
      <c r="G60" s="342"/>
      <c r="H60" s="342"/>
      <c r="I60" s="342"/>
      <c r="J60" s="342"/>
      <c r="L60" s="337"/>
    </row>
    <row r="61" spans="1:12" ht="15.75" thickBot="1">
      <c r="A61" s="344" t="s">
        <v>251</v>
      </c>
      <c r="B61" s="709" t="s">
        <v>410</v>
      </c>
      <c r="C61" s="342"/>
      <c r="D61" s="342"/>
      <c r="E61" s="342"/>
      <c r="F61" s="342"/>
      <c r="H61" s="342"/>
      <c r="I61" s="342"/>
      <c r="J61" s="869">
        <f>IF(AND(K31&lt;&gt;0,OR(K26="vollstationäre Pflege",K26="")),"(ohne Differenz Einbett- zu Mehrbettzimmer, vgl. Ziffer 5)","")</f>
      </c>
      <c r="K61" s="335"/>
      <c r="L61" s="364"/>
    </row>
    <row r="62" spans="1:12" ht="24" customHeight="1" thickBot="1">
      <c r="A62" s="365" t="s">
        <v>252</v>
      </c>
      <c r="B62" s="731" t="str">
        <f>IF(K26="vollstationäre Pflege","entfällt","Besondere Angaben bei Tages-, Nacht- u. solitären Kurzzeitpflegeeinrichtungen:")</f>
        <v>Besondere Angaben bei Tages-, Nacht- u. solitären Kurzzeitpflegeeinrichtungen:</v>
      </c>
      <c r="C62" s="708"/>
      <c r="D62" s="708"/>
      <c r="E62" s="342"/>
      <c r="F62" s="342"/>
      <c r="G62" s="342"/>
      <c r="H62" s="342"/>
      <c r="I62" s="342"/>
      <c r="J62" s="342"/>
      <c r="L62" s="337"/>
    </row>
    <row r="63" spans="1:12" ht="15">
      <c r="A63" s="344" t="s">
        <v>253</v>
      </c>
      <c r="B63" s="709" t="str">
        <f>IF(K26="vollstationäre Pflege","","Tages-, Nacht- und solitäre Kurzzeitpflegeeinrichtungen:")</f>
        <v>Tages-, Nacht- und solitäre Kurzzeitpflegeeinrichtungen:</v>
      </c>
      <c r="C63" s="708"/>
      <c r="D63" s="708"/>
      <c r="E63" s="342"/>
      <c r="F63" s="342"/>
      <c r="G63" s="342"/>
      <c r="H63" s="708"/>
      <c r="I63" s="1020" t="str">
        <f>IF(K26="vollstationäre Pflege","",IF(K12="Erstantrag","","[vgl. Anlage 2] "))</f>
        <v>[vgl. Anlage 2] </v>
      </c>
      <c r="J63" s="1021"/>
      <c r="K63" s="1036"/>
      <c r="L63" s="1033"/>
    </row>
    <row r="64" spans="1:12" ht="15">
      <c r="A64" s="353"/>
      <c r="B64" s="709" t="str">
        <f>IF(K26="vollstationäre Pflege","","Anwesenheitstagenachweis (§ 3 Abs. 6 GesBerVO)")</f>
        <v>Anwesenheitstagenachweis (§ 3 Abs. 6 GesBerVO)</v>
      </c>
      <c r="C64" s="708"/>
      <c r="D64" s="708"/>
      <c r="E64" s="342"/>
      <c r="F64" s="342"/>
      <c r="G64" s="342"/>
      <c r="H64" s="708"/>
      <c r="I64" s="1022"/>
      <c r="J64" s="1021"/>
      <c r="K64" s="1037"/>
      <c r="L64" s="1033"/>
    </row>
    <row r="65" spans="1:12" ht="15" thickBot="1">
      <c r="A65" s="353"/>
      <c r="B65" s="799" t="str">
        <f>IF(K26="vollstationäre Pflege","","(Bei neuen Einrichtungen ist ein Wert größer 0 zu erfassen.)")</f>
        <v>(Bei neuen Einrichtungen ist ein Wert größer 0 zu erfassen.)</v>
      </c>
      <c r="C65" s="708"/>
      <c r="D65" s="708"/>
      <c r="E65" s="342"/>
      <c r="F65" s="342"/>
      <c r="G65" s="342"/>
      <c r="H65" s="708"/>
      <c r="I65" s="798"/>
      <c r="J65" s="797"/>
      <c r="K65" s="1038"/>
      <c r="L65" s="360"/>
    </row>
    <row r="66" spans="1:12" ht="15">
      <c r="A66" s="344" t="s">
        <v>254</v>
      </c>
      <c r="B66" s="709" t="str">
        <f>IF(K26="vollstationäre Pflege","",IF(K26="Kurzzeitpflege","entfällt","Tages- und Nachtpflegeeinrichtungen:"))</f>
        <v>Tages- und Nachtpflegeeinrichtungen:</v>
      </c>
      <c r="C66" s="708"/>
      <c r="D66" s="708"/>
      <c r="E66" s="342"/>
      <c r="F66" s="342"/>
      <c r="G66" s="342"/>
      <c r="H66" s="708"/>
      <c r="I66" s="1020" t="str">
        <f>IF(OR(K26="vollstationäre Pflege",K26="Kurzzeitpflege"),"","[vgl. Anlage 2] ")</f>
        <v>[vgl. Anlage 2] </v>
      </c>
      <c r="J66" s="1021"/>
      <c r="K66" s="1034"/>
      <c r="L66" s="1033"/>
    </row>
    <row r="67" spans="1:12" ht="15.75" thickBot="1">
      <c r="A67" s="350"/>
      <c r="B67" s="709" t="str">
        <f>IF(OR(K26="vollstationäre Pflege",K26="Kurzzeitpflege"),"","Öffnungstage/Woche")</f>
        <v>Öffnungstage/Woche</v>
      </c>
      <c r="C67" s="708"/>
      <c r="D67" s="708"/>
      <c r="E67" s="342"/>
      <c r="F67" s="342"/>
      <c r="G67" s="342"/>
      <c r="H67" s="708"/>
      <c r="I67" s="1022"/>
      <c r="J67" s="1021"/>
      <c r="K67" s="1035"/>
      <c r="L67" s="1033"/>
    </row>
    <row r="68" spans="1:12" ht="6.75" customHeight="1">
      <c r="A68" s="367"/>
      <c r="B68" s="337"/>
      <c r="C68" s="337"/>
      <c r="D68" s="337"/>
      <c r="E68" s="337"/>
      <c r="F68" s="337"/>
      <c r="G68" s="337"/>
      <c r="H68" s="337"/>
      <c r="I68" s="337"/>
      <c r="J68" s="337"/>
      <c r="L68" s="337"/>
    </row>
    <row r="69" spans="1:12" ht="63.75" customHeight="1">
      <c r="A69" s="1030" t="s">
        <v>255</v>
      </c>
      <c r="B69" s="1031"/>
      <c r="C69" s="1031"/>
      <c r="D69" s="1031"/>
      <c r="E69" s="1031"/>
      <c r="F69" s="1031"/>
      <c r="G69" s="1031"/>
      <c r="H69" s="1031"/>
      <c r="I69" s="1031"/>
      <c r="J69" s="1031"/>
      <c r="K69" s="1031"/>
      <c r="L69" s="1032"/>
    </row>
    <row r="70" spans="1:12" ht="21" customHeight="1">
      <c r="A70" s="302"/>
      <c r="C70" s="284"/>
      <c r="D70" s="284"/>
      <c r="F70" s="284"/>
      <c r="H70" s="327"/>
      <c r="I70" s="327"/>
      <c r="J70" s="328"/>
      <c r="K70" s="327"/>
      <c r="L70" s="302"/>
    </row>
    <row r="71" spans="1:11" ht="17.25">
      <c r="A71" s="329"/>
      <c r="B71" s="289"/>
      <c r="C71" s="289"/>
      <c r="D71" s="289"/>
      <c r="E71" s="289"/>
      <c r="F71" s="289"/>
      <c r="G71" s="289"/>
      <c r="H71" s="289"/>
      <c r="I71" s="289"/>
      <c r="J71" s="289"/>
      <c r="K71" s="289"/>
    </row>
    <row r="72" spans="1:12" ht="13.5">
      <c r="A72" s="305" t="s">
        <v>256</v>
      </c>
      <c r="B72" s="337"/>
      <c r="C72" s="369" t="s">
        <v>257</v>
      </c>
      <c r="D72" s="367"/>
      <c r="E72" s="367"/>
      <c r="F72" s="367"/>
      <c r="G72" s="370" t="s">
        <v>258</v>
      </c>
      <c r="H72" s="337" t="s">
        <v>259</v>
      </c>
      <c r="I72" s="337"/>
      <c r="J72" s="337"/>
      <c r="K72" s="337"/>
      <c r="L72" s="337"/>
    </row>
    <row r="73" spans="1:12" ht="19.5" customHeight="1">
      <c r="A73" s="302"/>
      <c r="B73" s="330"/>
      <c r="C73" s="330"/>
      <c r="D73" s="330"/>
      <c r="E73" s="330"/>
      <c r="F73" s="331"/>
      <c r="G73" s="331"/>
      <c r="H73" s="331"/>
      <c r="I73" s="331"/>
      <c r="J73" s="331"/>
      <c r="K73" s="331"/>
      <c r="L73" s="302"/>
    </row>
    <row r="74" spans="1:11" ht="18.75" customHeight="1">
      <c r="A74" s="329"/>
      <c r="B74" s="289"/>
      <c r="C74" s="289"/>
      <c r="D74" s="289"/>
      <c r="E74" s="289"/>
      <c r="F74" s="289"/>
      <c r="G74" s="289"/>
      <c r="H74" s="289"/>
      <c r="I74" s="289"/>
      <c r="J74" s="289"/>
      <c r="K74" s="289"/>
    </row>
    <row r="75" spans="1:12" ht="13.5">
      <c r="A75" s="305" t="s">
        <v>256</v>
      </c>
      <c r="B75" s="337"/>
      <c r="C75" s="371"/>
      <c r="D75" s="337"/>
      <c r="E75" s="337"/>
      <c r="F75" s="337"/>
      <c r="G75" s="370" t="s">
        <v>260</v>
      </c>
      <c r="H75" s="337" t="s">
        <v>261</v>
      </c>
      <c r="I75" s="337"/>
      <c r="J75" s="337" t="s">
        <v>134</v>
      </c>
      <c r="K75" s="337"/>
      <c r="L75" s="337"/>
    </row>
    <row r="76" spans="1:12" ht="13.5">
      <c r="A76" s="337"/>
      <c r="B76" s="337"/>
      <c r="C76" s="337"/>
      <c r="D76" s="337"/>
      <c r="E76" s="337"/>
      <c r="F76" s="337"/>
      <c r="G76" s="337"/>
      <c r="H76" s="337"/>
      <c r="I76" s="337"/>
      <c r="J76" s="337"/>
      <c r="K76" s="337"/>
      <c r="L76" s="372" t="s">
        <v>262</v>
      </c>
    </row>
  </sheetData>
  <sheetProtection password="DB77" sheet="1" objects="1" scenarios="1"/>
  <mergeCells count="18">
    <mergeCell ref="I63:J64"/>
    <mergeCell ref="N23:N25"/>
    <mergeCell ref="B21:J21"/>
    <mergeCell ref="K50:K51"/>
    <mergeCell ref="I52:J52"/>
    <mergeCell ref="B18:J18"/>
    <mergeCell ref="B59:E59"/>
    <mergeCell ref="B22:J22"/>
    <mergeCell ref="I66:J67"/>
    <mergeCell ref="K1:L1"/>
    <mergeCell ref="B5:L5"/>
    <mergeCell ref="B8:L8"/>
    <mergeCell ref="C3:J3"/>
    <mergeCell ref="A69:L69"/>
    <mergeCell ref="L63:L64"/>
    <mergeCell ref="K66:K67"/>
    <mergeCell ref="L66:L67"/>
    <mergeCell ref="K63:K65"/>
  </mergeCells>
  <dataValidations count="5">
    <dataValidation type="list" allowBlank="1" showInputMessage="1" showErrorMessage="1" sqref="K26">
      <formula1>"vollstationäre Pflege,Kurzzeitpflege,Tagespflege,Nachtpflege, "</formula1>
    </dataValidation>
    <dataValidation type="list" allowBlank="1" showInputMessage="1" showErrorMessage="1" sqref="K18 K20">
      <formula1>"ja,nein"</formula1>
    </dataValidation>
    <dataValidation type="list" allowBlank="1" showInputMessage="1" showErrorMessage="1" sqref="K44">
      <formula1>"endgültiger KN,vorläufiger KN, "</formula1>
    </dataValidation>
    <dataValidation type="list" allowBlank="1" showInputMessage="1" showErrorMessage="1" sqref="K12">
      <formula1>"Erstantrag,Folgeantrag"</formula1>
    </dataValidation>
    <dataValidation type="list" allowBlank="1" showInputMessage="1" showErrorMessage="1" sqref="H15:I16">
      <formula1>"x"</formula1>
    </dataValidation>
  </dataValidations>
  <printOptions/>
  <pageMargins left="0.78" right="0.2755905511811024" top="0.27" bottom="0.35433070866141736" header="0.27" footer="0.2362204724409449"/>
  <pageSetup fitToHeight="1" fitToWidth="1" horizontalDpi="600" verticalDpi="600" orientation="portrait" paperSize="9" scale="60" r:id="rId2"/>
  <headerFooter alignWithMargins="0">
    <oddFooter>&amp;L&amp;F&amp;C&amp;A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49"/>
  <sheetViews>
    <sheetView zoomScale="63" zoomScaleNormal="63" zoomScalePageLayoutView="0" workbookViewId="0" topLeftCell="A1">
      <selection activeCell="A1" sqref="A1"/>
    </sheetView>
  </sheetViews>
  <sheetFormatPr defaultColWidth="11.421875" defaultRowHeight="12.75"/>
  <cols>
    <col min="1" max="1" width="6.8515625" style="0" customWidth="1"/>
    <col min="2" max="2" width="13.7109375" style="0" customWidth="1"/>
    <col min="3" max="3" width="32.00390625" style="0" customWidth="1"/>
    <col min="4" max="4" width="20.28125" style="0" customWidth="1"/>
    <col min="5" max="6" width="17.7109375" style="0" customWidth="1"/>
    <col min="7" max="7" width="3.57421875" style="0" customWidth="1"/>
    <col min="8" max="8" width="21.00390625" style="4" customWidth="1"/>
    <col min="9" max="9" width="14.8515625" style="55" customWidth="1"/>
    <col min="10" max="10" width="21.28125" style="0" customWidth="1"/>
    <col min="11" max="11" width="9.28125" style="55" customWidth="1"/>
    <col min="12" max="12" width="3.57421875" style="0" customWidth="1"/>
    <col min="13" max="13" width="22.7109375" style="4" customWidth="1"/>
    <col min="14" max="14" width="21.28125" style="0" customWidth="1"/>
    <col min="15" max="15" width="3.57421875" style="0" customWidth="1"/>
    <col min="16" max="16" width="8.7109375" style="55" customWidth="1"/>
    <col min="17" max="17" width="20.140625" style="55" customWidth="1"/>
    <col min="18" max="18" width="20.140625" style="0" customWidth="1"/>
    <col min="19" max="19" width="1.7109375" style="0" customWidth="1"/>
  </cols>
  <sheetData>
    <row r="1" spans="1:16" ht="30">
      <c r="A1" s="53" t="str">
        <f>"Anlage Nr. 1.)    Verzinsung Verfahren "&amp;YEAR(J3)-1&amp;"/"&amp;YEAR(J3)</f>
        <v>Anlage Nr. 1.)    Verzinsung Verfahren 2011/2012</v>
      </c>
      <c r="B1" s="54"/>
      <c r="G1" s="53"/>
      <c r="H1" s="846">
        <f>IF(Antrag!K26="","",IF(AND(Antrag!H15="",Antrag!H16=""),"Anlage 1 'Verzinsung' entfällt",""))</f>
      </c>
      <c r="I1" s="619"/>
      <c r="J1" s="619"/>
      <c r="P1" s="55" t="s">
        <v>134</v>
      </c>
    </row>
    <row r="2" ht="13.5" thickBot="1"/>
    <row r="3" spans="1:18" ht="21.75" customHeight="1" thickBot="1">
      <c r="A3" s="56" t="s">
        <v>135</v>
      </c>
      <c r="B3" s="57"/>
      <c r="G3" s="52"/>
      <c r="H3" s="618" t="s">
        <v>271</v>
      </c>
      <c r="I3" s="744">
        <f>Antrag!H10</f>
        <v>40544</v>
      </c>
      <c r="J3" s="621">
        <f>'Anlg.3 Berechnung'!F13</f>
        <v>41274</v>
      </c>
      <c r="L3" s="58"/>
      <c r="N3" s="55"/>
      <c r="P3" s="59" t="s">
        <v>136</v>
      </c>
      <c r="Q3" s="1065">
        <f>Antrag!K1</f>
        <v>0</v>
      </c>
      <c r="R3" s="1065"/>
    </row>
    <row r="4" ht="4.5" customHeight="1"/>
    <row r="5" spans="1:18" s="57" customFormat="1" ht="30" customHeight="1">
      <c r="A5" s="1066">
        <f>Antrag!B5</f>
        <v>0</v>
      </c>
      <c r="B5" s="1067"/>
      <c r="C5" s="1067"/>
      <c r="D5" s="1067"/>
      <c r="E5" s="1067"/>
      <c r="F5" s="1067"/>
      <c r="G5" s="1067"/>
      <c r="H5" s="1067"/>
      <c r="I5" s="1067"/>
      <c r="J5" s="1067"/>
      <c r="K5" s="1067"/>
      <c r="L5" s="1067"/>
      <c r="M5" s="1067"/>
      <c r="N5" s="1067"/>
      <c r="O5" s="1067"/>
      <c r="P5" s="1067"/>
      <c r="Q5" s="1067"/>
      <c r="R5" s="1067"/>
    </row>
    <row r="6" spans="1:15" ht="13.5">
      <c r="A6" s="60" t="s">
        <v>137</v>
      </c>
      <c r="B6" s="61"/>
      <c r="C6" s="61"/>
      <c r="D6" s="61"/>
      <c r="E6" s="61"/>
      <c r="F6" s="61"/>
      <c r="G6" s="55"/>
      <c r="H6" s="62"/>
      <c r="I6" s="61"/>
      <c r="J6" s="61"/>
      <c r="L6" s="55"/>
      <c r="M6" s="62"/>
      <c r="N6" s="61"/>
      <c r="O6" s="55"/>
    </row>
    <row r="7" ht="13.5" thickBot="1"/>
    <row r="8" spans="1:18" ht="14.25" thickBot="1" thickTop="1">
      <c r="A8" s="63">
        <v>1</v>
      </c>
      <c r="B8" s="63">
        <v>2</v>
      </c>
      <c r="C8" s="50">
        <v>3</v>
      </c>
      <c r="D8" s="50">
        <v>4</v>
      </c>
      <c r="E8" s="50">
        <v>5</v>
      </c>
      <c r="F8" s="64">
        <v>6</v>
      </c>
      <c r="G8" s="4"/>
      <c r="H8" s="65">
        <v>7</v>
      </c>
      <c r="I8" s="66">
        <v>8</v>
      </c>
      <c r="J8" s="65">
        <v>9</v>
      </c>
      <c r="K8" s="66">
        <v>10</v>
      </c>
      <c r="L8" s="4"/>
      <c r="M8" s="65">
        <v>11</v>
      </c>
      <c r="N8" s="65">
        <v>12</v>
      </c>
      <c r="O8" s="4"/>
      <c r="P8" s="67">
        <v>13</v>
      </c>
      <c r="Q8" s="68">
        <v>14</v>
      </c>
      <c r="R8" s="69">
        <v>15</v>
      </c>
    </row>
    <row r="9" spans="1:18" s="60" customFormat="1" ht="108" customHeight="1" thickBot="1">
      <c r="A9" s="70" t="s">
        <v>138</v>
      </c>
      <c r="B9" s="70" t="s">
        <v>139</v>
      </c>
      <c r="C9" s="71" t="s">
        <v>140</v>
      </c>
      <c r="D9" s="72" t="s">
        <v>141</v>
      </c>
      <c r="E9" s="71" t="s">
        <v>270</v>
      </c>
      <c r="F9" s="73" t="str">
        <f>"Höhe des
Restkapi-
tals am
31.12."&amp;YEAR(I3)-2&amp;"  "&amp;"Euro"</f>
        <v>Höhe des
Restkapi-
tals am
31.12.2009  Euro</v>
      </c>
      <c r="G9" s="74"/>
      <c r="H9" s="75" t="str">
        <f>"Zinsbetrag    "&amp;YEAR(J3)-4&amp;"                   lt.
Buchhaltung
Euro ( * )"</f>
        <v>Zinsbetrag    2008                   lt.
Buchhaltung
Euro ( * )</v>
      </c>
      <c r="I9" s="620" t="s">
        <v>142</v>
      </c>
      <c r="J9" s="75" t="str">
        <f>"Verwaltungs-
kosten              "&amp;YEAR(J3)-4&amp;"                       lt. Buchhaltung          Euro ( * )"</f>
        <v>Verwaltungs-
kosten              2008                       lt. Buchhaltung          Euro ( * )</v>
      </c>
      <c r="K9" s="76" t="s">
        <v>143</v>
      </c>
      <c r="L9" s="74"/>
      <c r="M9" s="75" t="str">
        <f>"Zinsbetrag          "&amp;YEAR(J3)-3&amp;"                        lt.
Buchhaltung
Euro ( * )"</f>
        <v>Zinsbetrag          2009                        lt.
Buchhaltung
Euro ( * )</v>
      </c>
      <c r="N9" s="75" t="str">
        <f>"Verwaltungs-
kosten              "&amp;YEAR(J3)-3&amp;"                       lt. Buchhaltung          Euro ( * )"</f>
        <v>Verwaltungs-
kosten              2009                       lt. Buchhaltung          Euro ( * )</v>
      </c>
      <c r="O9" s="77"/>
      <c r="P9" s="78" t="str">
        <f>"Zins-
satz     "&amp;YEAR(I3)&amp;"           %"</f>
        <v>Zins-
satz     2011           %</v>
      </c>
      <c r="Q9" s="72" t="str">
        <f>"kalkulierte
Verzinsung   "&amp;YEAR(I3)&amp;"                       Euro"</f>
        <v>kalkulierte
Verzinsung   2011                       Euro</v>
      </c>
      <c r="R9" s="79" t="str">
        <f>"kalkulierte
Verwaltungs-
kosten              "&amp;YEAR(I3)&amp;"               Euro"</f>
        <v>kalkulierte
Verwaltungs-
kosten              2011               Euro</v>
      </c>
    </row>
    <row r="10" spans="1:19" s="57" customFormat="1" ht="19.5" customHeight="1" thickBot="1">
      <c r="A10" s="1068" t="s">
        <v>144</v>
      </c>
      <c r="B10" s="1070"/>
      <c r="C10" s="80" t="s">
        <v>145</v>
      </c>
      <c r="D10" s="81"/>
      <c r="E10" s="82"/>
      <c r="F10" s="83"/>
      <c r="G10" s="84"/>
      <c r="H10" s="82"/>
      <c r="I10" s="85"/>
      <c r="J10" s="86"/>
      <c r="K10" s="83"/>
      <c r="L10" s="85"/>
      <c r="M10" s="82"/>
      <c r="P10" s="87"/>
      <c r="Q10" s="88"/>
      <c r="R10" s="89"/>
      <c r="S10" s="90"/>
    </row>
    <row r="11" spans="1:19" s="57" customFormat="1" ht="19.5" customHeight="1" thickBot="1" thickTop="1">
      <c r="A11" s="1069"/>
      <c r="B11" s="1071"/>
      <c r="C11" s="91" t="s">
        <v>146</v>
      </c>
      <c r="D11" s="92"/>
      <c r="E11" s="1072"/>
      <c r="F11" s="1073"/>
      <c r="G11" s="90"/>
      <c r="H11" s="93"/>
      <c r="I11" s="93"/>
      <c r="M11" s="93"/>
      <c r="O11" s="90"/>
      <c r="P11" s="94"/>
      <c r="Q11" s="95"/>
      <c r="R11" s="96"/>
      <c r="S11" s="90"/>
    </row>
    <row r="12" spans="1:18" s="57" customFormat="1" ht="24" customHeight="1" thickTop="1">
      <c r="A12" s="97">
        <v>1</v>
      </c>
      <c r="B12" s="98"/>
      <c r="C12" s="99"/>
      <c r="D12" s="99"/>
      <c r="E12" s="100"/>
      <c r="F12" s="101"/>
      <c r="H12" s="102"/>
      <c r="I12" s="103"/>
      <c r="J12" s="102"/>
      <c r="K12" s="104"/>
      <c r="M12" s="102"/>
      <c r="N12" s="102"/>
      <c r="P12" s="105"/>
      <c r="Q12" s="106"/>
      <c r="R12" s="107"/>
    </row>
    <row r="13" spans="1:18" s="57" customFormat="1" ht="24" customHeight="1">
      <c r="A13" s="97">
        <v>2</v>
      </c>
      <c r="B13" s="98"/>
      <c r="C13" s="99"/>
      <c r="D13" s="99"/>
      <c r="E13" s="100"/>
      <c r="F13" s="101"/>
      <c r="H13" s="108"/>
      <c r="I13" s="109"/>
      <c r="J13" s="108"/>
      <c r="K13" s="110"/>
      <c r="M13" s="108"/>
      <c r="N13" s="108"/>
      <c r="P13" s="111"/>
      <c r="Q13" s="112"/>
      <c r="R13" s="107"/>
    </row>
    <row r="14" spans="1:18" s="57" customFormat="1" ht="24" customHeight="1">
      <c r="A14" s="97">
        <v>3</v>
      </c>
      <c r="B14" s="98"/>
      <c r="C14" s="99"/>
      <c r="D14" s="99"/>
      <c r="E14" s="100"/>
      <c r="F14" s="101"/>
      <c r="H14" s="108"/>
      <c r="I14" s="109"/>
      <c r="J14" s="108"/>
      <c r="K14" s="110"/>
      <c r="M14" s="108"/>
      <c r="N14" s="108"/>
      <c r="P14" s="111"/>
      <c r="Q14" s="112"/>
      <c r="R14" s="107"/>
    </row>
    <row r="15" spans="1:18" s="57" customFormat="1" ht="24" customHeight="1">
      <c r="A15" s="97">
        <v>4</v>
      </c>
      <c r="B15" s="98"/>
      <c r="C15" s="99"/>
      <c r="D15" s="99"/>
      <c r="E15" s="100"/>
      <c r="F15" s="101"/>
      <c r="H15" s="108"/>
      <c r="I15" s="109"/>
      <c r="J15" s="108"/>
      <c r="K15" s="110"/>
      <c r="M15" s="108"/>
      <c r="N15" s="108"/>
      <c r="P15" s="111"/>
      <c r="Q15" s="112"/>
      <c r="R15" s="107"/>
    </row>
    <row r="16" spans="1:18" s="57" customFormat="1" ht="24" customHeight="1">
      <c r="A16" s="97">
        <v>5</v>
      </c>
      <c r="B16" s="98"/>
      <c r="C16" s="99"/>
      <c r="D16" s="99"/>
      <c r="E16" s="100"/>
      <c r="F16" s="101"/>
      <c r="H16" s="108"/>
      <c r="I16" s="109"/>
      <c r="J16" s="108"/>
      <c r="K16" s="110"/>
      <c r="M16" s="108"/>
      <c r="N16" s="108"/>
      <c r="P16" s="111"/>
      <c r="Q16" s="112"/>
      <c r="R16" s="107"/>
    </row>
    <row r="17" spans="1:18" s="57" customFormat="1" ht="24" customHeight="1">
      <c r="A17" s="97">
        <v>6</v>
      </c>
      <c r="B17" s="98"/>
      <c r="C17" s="99"/>
      <c r="D17" s="99"/>
      <c r="E17" s="100"/>
      <c r="F17" s="101"/>
      <c r="H17" s="108"/>
      <c r="I17" s="109"/>
      <c r="J17" s="108"/>
      <c r="K17" s="110"/>
      <c r="M17" s="108"/>
      <c r="N17" s="108"/>
      <c r="P17" s="111"/>
      <c r="Q17" s="112"/>
      <c r="R17" s="107"/>
    </row>
    <row r="18" spans="1:18" s="57" customFormat="1" ht="24" customHeight="1">
      <c r="A18" s="97">
        <v>7</v>
      </c>
      <c r="B18" s="98"/>
      <c r="C18" s="99"/>
      <c r="D18" s="99"/>
      <c r="E18" s="100"/>
      <c r="F18" s="101"/>
      <c r="H18" s="108"/>
      <c r="I18" s="109"/>
      <c r="J18" s="108"/>
      <c r="K18" s="110"/>
      <c r="M18" s="108"/>
      <c r="N18" s="108"/>
      <c r="P18" s="111"/>
      <c r="Q18" s="112"/>
      <c r="R18" s="107"/>
    </row>
    <row r="19" spans="1:18" s="57" customFormat="1" ht="24" customHeight="1">
      <c r="A19" s="97">
        <v>8</v>
      </c>
      <c r="B19" s="98"/>
      <c r="C19" s="99"/>
      <c r="D19" s="99"/>
      <c r="E19" s="100"/>
      <c r="F19" s="101"/>
      <c r="H19" s="108"/>
      <c r="I19" s="109"/>
      <c r="J19" s="108"/>
      <c r="K19" s="110"/>
      <c r="M19" s="108"/>
      <c r="N19" s="108"/>
      <c r="P19" s="111"/>
      <c r="Q19" s="112"/>
      <c r="R19" s="107"/>
    </row>
    <row r="20" spans="1:18" s="57" customFormat="1" ht="24" customHeight="1">
      <c r="A20" s="97">
        <v>9</v>
      </c>
      <c r="B20" s="98"/>
      <c r="C20" s="99"/>
      <c r="D20" s="99"/>
      <c r="E20" s="100"/>
      <c r="F20" s="101"/>
      <c r="H20" s="108"/>
      <c r="I20" s="109"/>
      <c r="J20" s="108"/>
      <c r="K20" s="110"/>
      <c r="M20" s="108"/>
      <c r="N20" s="108"/>
      <c r="P20" s="111"/>
      <c r="Q20" s="112"/>
      <c r="R20" s="107"/>
    </row>
    <row r="21" spans="1:18" s="57" customFormat="1" ht="24" customHeight="1">
      <c r="A21" s="97">
        <v>10</v>
      </c>
      <c r="B21" s="98"/>
      <c r="C21" s="99"/>
      <c r="D21" s="99"/>
      <c r="E21" s="100"/>
      <c r="F21" s="101"/>
      <c r="H21" s="108"/>
      <c r="I21" s="109"/>
      <c r="J21" s="108"/>
      <c r="K21" s="110"/>
      <c r="M21" s="108"/>
      <c r="N21" s="108"/>
      <c r="P21" s="111"/>
      <c r="Q21" s="112"/>
      <c r="R21" s="107"/>
    </row>
    <row r="22" spans="1:18" s="57" customFormat="1" ht="24" customHeight="1" thickBot="1">
      <c r="A22" s="113">
        <v>11</v>
      </c>
      <c r="B22" s="114"/>
      <c r="C22" s="115"/>
      <c r="D22" s="115"/>
      <c r="E22" s="116"/>
      <c r="F22" s="117"/>
      <c r="H22" s="118"/>
      <c r="I22" s="119"/>
      <c r="J22" s="118"/>
      <c r="K22" s="120"/>
      <c r="M22" s="118"/>
      <c r="N22" s="118"/>
      <c r="P22" s="121"/>
      <c r="Q22" s="122"/>
      <c r="R22" s="123"/>
    </row>
    <row r="23" spans="1:18" s="57" customFormat="1" ht="21.75" customHeight="1" thickBot="1">
      <c r="A23" s="124"/>
      <c r="B23" s="124"/>
      <c r="C23" s="124"/>
      <c r="D23" s="125" t="s">
        <v>147</v>
      </c>
      <c r="E23" s="126">
        <f>E10+SUM(E12:E22)</f>
        <v>0</v>
      </c>
      <c r="F23" s="127">
        <f>F10+SUM(F12:F22)</f>
        <v>0</v>
      </c>
      <c r="G23" s="124"/>
      <c r="H23" s="128">
        <f>SUM(H10:H22)</f>
        <v>0</v>
      </c>
      <c r="I23" s="129"/>
      <c r="J23" s="128">
        <f>SUM(J10:J22)</f>
        <v>0</v>
      </c>
      <c r="K23" s="124"/>
      <c r="L23" s="124"/>
      <c r="M23" s="128">
        <f>SUM(M10:M22)</f>
        <v>0</v>
      </c>
      <c r="N23" s="128">
        <f>SUM(N10:N22)</f>
        <v>0</v>
      </c>
      <c r="O23" s="124"/>
      <c r="P23" s="130"/>
      <c r="Q23" s="131">
        <f>SUM(Q10:Q22)</f>
        <v>0</v>
      </c>
      <c r="R23" s="132">
        <f>SUM(R10:R22)</f>
        <v>0</v>
      </c>
    </row>
    <row r="24" spans="1:18" s="51" customFormat="1" ht="21.75" customHeight="1" thickBot="1">
      <c r="A24" s="133"/>
      <c r="B24" s="133"/>
      <c r="C24" s="133"/>
      <c r="D24" s="134"/>
      <c r="E24" s="135"/>
      <c r="F24" s="135"/>
      <c r="G24" s="133"/>
      <c r="H24" s="136" t="str">
        <f>"Summe "&amp;YEAR(J3)-4&amp;" ="</f>
        <v>Summe 2008 =</v>
      </c>
      <c r="I24" s="137"/>
      <c r="J24" s="136">
        <f>H23+J23</f>
        <v>0</v>
      </c>
      <c r="K24" s="138"/>
      <c r="L24" s="133"/>
      <c r="M24" s="136" t="str">
        <f>"Summe "&amp;YEAR(J3)-3&amp;" ="</f>
        <v>Summe 2009 =</v>
      </c>
      <c r="N24" s="136">
        <f>M23+N23</f>
        <v>0</v>
      </c>
      <c r="O24" s="133"/>
      <c r="P24" s="139" t="str">
        <f>"Summe "&amp;YEAR(I3)&amp;" ="</f>
        <v>Summe 2011 =</v>
      </c>
      <c r="Q24" s="140"/>
      <c r="R24" s="141">
        <f>Q23+R23</f>
        <v>0</v>
      </c>
    </row>
    <row r="25" spans="1:18" ht="18" thickBot="1" thickTop="1">
      <c r="A25" s="133"/>
      <c r="B25" s="133"/>
      <c r="C25" s="133"/>
      <c r="D25" s="134"/>
      <c r="E25" s="135"/>
      <c r="F25" s="135"/>
      <c r="G25" s="133"/>
      <c r="H25" s="135"/>
      <c r="I25" s="142"/>
      <c r="J25" s="135"/>
      <c r="K25" s="143"/>
      <c r="L25" s="133"/>
      <c r="M25" s="135"/>
      <c r="N25" s="135"/>
      <c r="O25" s="133"/>
      <c r="P25" s="144"/>
      <c r="Q25" s="145"/>
      <c r="R25" s="146"/>
    </row>
    <row r="26" spans="1:18" ht="18" thickBot="1">
      <c r="A26" s="147" t="s">
        <v>148</v>
      </c>
      <c r="B26" s="148" t="s">
        <v>272</v>
      </c>
      <c r="C26" s="133"/>
      <c r="D26" s="134"/>
      <c r="E26" s="135"/>
      <c r="F26" s="135"/>
      <c r="G26" s="133"/>
      <c r="H26" s="135"/>
      <c r="I26" s="142"/>
      <c r="J26" s="135"/>
      <c r="K26" s="143"/>
      <c r="L26" s="133"/>
      <c r="M26" s="135"/>
      <c r="N26" s="135"/>
      <c r="O26" s="133"/>
      <c r="P26" s="149"/>
      <c r="Q26" s="150"/>
      <c r="R26" s="151"/>
    </row>
    <row r="27" spans="1:18" ht="43.5" customHeight="1" thickBot="1">
      <c r="A27" s="152" t="s">
        <v>138</v>
      </c>
      <c r="C27" s="133"/>
      <c r="D27" s="134"/>
      <c r="E27" s="1058" t="s">
        <v>149</v>
      </c>
      <c r="F27" s="1059"/>
      <c r="G27" s="133"/>
      <c r="H27" s="153"/>
      <c r="I27" s="622" t="str">
        <f>"Umfang Euro Rot-Absetzung "&amp;YEAR(J3)-4</f>
        <v>Umfang Euro Rot-Absetzung 2008</v>
      </c>
      <c r="J27" s="154"/>
      <c r="K27" s="155"/>
      <c r="L27" s="156"/>
      <c r="M27" s="1060" t="str">
        <f>"Euro Rot-Absetzung "&amp;YEAR(J3)-3</f>
        <v>Euro Rot-Absetzung 2009</v>
      </c>
      <c r="N27" s="1061"/>
      <c r="O27" s="133"/>
      <c r="P27" s="157"/>
      <c r="Q27" s="1060" t="str">
        <f>"Euro Rot-Absetzung "&amp;YEAR(I3)</f>
        <v>Euro Rot-Absetzung 2011</v>
      </c>
      <c r="R27" s="1062"/>
    </row>
    <row r="28" spans="1:18" ht="24" customHeight="1">
      <c r="A28" s="158">
        <v>1</v>
      </c>
      <c r="B28" s="159"/>
      <c r="C28" s="160"/>
      <c r="D28" s="160"/>
      <c r="E28" s="161"/>
      <c r="F28" s="162"/>
      <c r="G28" s="163"/>
      <c r="H28" s="164"/>
      <c r="I28" s="165"/>
      <c r="J28" s="164"/>
      <c r="K28" s="165"/>
      <c r="L28" s="166"/>
      <c r="M28" s="167"/>
      <c r="N28" s="162"/>
      <c r="O28" s="168"/>
      <c r="P28" s="169"/>
      <c r="Q28" s="170"/>
      <c r="R28" s="171"/>
    </row>
    <row r="29" spans="1:18" ht="24" customHeight="1">
      <c r="A29" s="172"/>
      <c r="B29" s="173"/>
      <c r="C29" s="174"/>
      <c r="D29" s="174"/>
      <c r="E29" s="175"/>
      <c r="F29" s="176"/>
      <c r="G29" s="163"/>
      <c r="H29" s="177"/>
      <c r="I29" s="165"/>
      <c r="J29" s="177"/>
      <c r="K29" s="165"/>
      <c r="L29" s="166"/>
      <c r="M29" s="178"/>
      <c r="N29" s="179"/>
      <c r="O29" s="168"/>
      <c r="P29" s="169"/>
      <c r="Q29" s="180"/>
      <c r="R29" s="181"/>
    </row>
    <row r="30" spans="1:18" ht="24" customHeight="1" thickBot="1">
      <c r="A30" s="182"/>
      <c r="B30" s="183"/>
      <c r="C30" s="184"/>
      <c r="D30" s="184"/>
      <c r="E30" s="185"/>
      <c r="F30" s="186"/>
      <c r="G30" s="163"/>
      <c r="H30" s="177"/>
      <c r="I30" s="165"/>
      <c r="J30" s="177"/>
      <c r="K30" s="165"/>
      <c r="L30" s="166"/>
      <c r="M30" s="178"/>
      <c r="N30" s="179"/>
      <c r="O30" s="168"/>
      <c r="P30" s="169"/>
      <c r="Q30" s="187"/>
      <c r="R30" s="188"/>
    </row>
    <row r="31" spans="1:18" ht="21.75" customHeight="1" thickBot="1">
      <c r="A31" s="133"/>
      <c r="B31" s="133"/>
      <c r="C31" s="133"/>
      <c r="D31" s="125" t="s">
        <v>147</v>
      </c>
      <c r="E31" s="154">
        <f>SUM(E28:E30)</f>
        <v>0</v>
      </c>
      <c r="G31" s="133"/>
      <c r="H31" s="189">
        <f>SUM(H27:H30)</f>
        <v>0</v>
      </c>
      <c r="I31" s="165"/>
      <c r="J31" s="189">
        <f>SUM(J27:J30)</f>
        <v>0</v>
      </c>
      <c r="K31" s="165"/>
      <c r="L31" s="190"/>
      <c r="M31" s="191">
        <f>SUM(M27:M30)</f>
        <v>0</v>
      </c>
      <c r="N31" s="192">
        <f>SUM(N27:N30)</f>
        <v>0</v>
      </c>
      <c r="O31" s="193"/>
      <c r="P31" s="169"/>
      <c r="Q31" s="194">
        <f>SUM(Q26:Q30)</f>
        <v>0</v>
      </c>
      <c r="R31" s="195">
        <f>SUM(R26:R30)</f>
        <v>0</v>
      </c>
    </row>
    <row r="32" spans="1:18" s="203" customFormat="1" ht="21.75" customHeight="1" thickBot="1">
      <c r="A32" s="193"/>
      <c r="B32" s="193"/>
      <c r="C32" s="193"/>
      <c r="D32" s="196"/>
      <c r="E32" s="197"/>
      <c r="F32" s="197"/>
      <c r="G32" s="193"/>
      <c r="H32" s="136" t="str">
        <f>"Summe "&amp;YEAR(J3)-4&amp;" ="</f>
        <v>Summe 2008 =</v>
      </c>
      <c r="I32" s="198"/>
      <c r="J32" s="199">
        <f>H31+J31</f>
        <v>0</v>
      </c>
      <c r="K32" s="200"/>
      <c r="L32" s="193"/>
      <c r="M32" s="136" t="str">
        <f>"Summe "&amp;YEAR(J3)-3&amp;" ="</f>
        <v>Summe 2009 =</v>
      </c>
      <c r="N32" s="199">
        <f>M31+N31</f>
        <v>0</v>
      </c>
      <c r="O32" s="193"/>
      <c r="P32" s="139" t="str">
        <f>"Summe "&amp;YEAR(I3)&amp;" ="</f>
        <v>Summe 2011 =</v>
      </c>
      <c r="Q32" s="201"/>
      <c r="R32" s="202">
        <f>Q31+R31</f>
        <v>0</v>
      </c>
    </row>
    <row r="33" spans="1:18" s="203" customFormat="1" ht="19.5" customHeight="1" thickBot="1" thickTop="1">
      <c r="A33" s="193"/>
      <c r="B33" s="193"/>
      <c r="C33" s="193"/>
      <c r="D33" s="196"/>
      <c r="E33" s="197"/>
      <c r="F33" s="197"/>
      <c r="G33" s="193"/>
      <c r="H33" s="204"/>
      <c r="I33" s="205"/>
      <c r="J33" s="204"/>
      <c r="K33" s="200"/>
      <c r="L33" s="193"/>
      <c r="M33" s="204"/>
      <c r="N33" s="204"/>
      <c r="O33" s="193"/>
      <c r="P33" s="204"/>
      <c r="Q33" s="205"/>
      <c r="R33" s="204"/>
    </row>
    <row r="34" spans="1:18" s="55" customFormat="1" ht="48" customHeight="1" thickBot="1" thickTop="1">
      <c r="A34" s="206" t="s">
        <v>150</v>
      </c>
      <c r="B34" s="207"/>
      <c r="C34" s="207"/>
      <c r="D34" s="208"/>
      <c r="E34" s="209"/>
      <c r="F34" s="210"/>
      <c r="G34" s="207"/>
      <c r="H34" s="211" t="str">
        <f>YEAR(J3)-4&amp;" = Euro"</f>
        <v>2008 = Euro</v>
      </c>
      <c r="I34" s="212"/>
      <c r="J34" s="211">
        <f>J24+(J32*IF(J32&gt;=0,-1,1))</f>
        <v>0</v>
      </c>
      <c r="K34" s="213"/>
      <c r="L34" s="207"/>
      <c r="M34" s="211" t="str">
        <f>YEAR(J3)-3&amp;" = Euro"</f>
        <v>2009 = Euro</v>
      </c>
      <c r="N34" s="211">
        <f>N24+(N32*IF(N32&gt;=0,-1,1))</f>
        <v>0</v>
      </c>
      <c r="O34" s="207"/>
      <c r="P34" s="214" t="str">
        <f>YEAR(I3)&amp;" = Euro"</f>
        <v>2011 = Euro</v>
      </c>
      <c r="Q34" s="215"/>
      <c r="R34" s="216">
        <f>R24+(R32*IF(R32&gt;=0,-1,1))</f>
        <v>0</v>
      </c>
    </row>
    <row r="35" ht="15.75" thickBot="1" thickTop="1">
      <c r="K35" s="142"/>
    </row>
    <row r="36" spans="1:18" ht="21" customHeight="1" thickTop="1">
      <c r="A36" s="217"/>
      <c r="B36" s="1063" t="s">
        <v>151</v>
      </c>
      <c r="C36" s="1064"/>
      <c r="D36" s="1064"/>
      <c r="E36" s="1064"/>
      <c r="F36" s="1064"/>
      <c r="G36" s="218"/>
      <c r="H36" s="219"/>
      <c r="I36" s="218"/>
      <c r="J36" s="220"/>
      <c r="K36" s="218"/>
      <c r="L36" s="218"/>
      <c r="M36" s="219"/>
      <c r="N36" s="220"/>
      <c r="O36" s="218"/>
      <c r="P36" s="218"/>
      <c r="Q36" s="218"/>
      <c r="R36" s="221"/>
    </row>
    <row r="37" spans="1:18" ht="21" customHeight="1">
      <c r="A37" s="222"/>
      <c r="B37" s="1056" t="s">
        <v>152</v>
      </c>
      <c r="C37" s="1057"/>
      <c r="D37" s="1057"/>
      <c r="E37" s="1057"/>
      <c r="F37" s="1057"/>
      <c r="G37" s="223"/>
      <c r="H37" s="49"/>
      <c r="I37" s="223"/>
      <c r="J37" s="1"/>
      <c r="K37" s="223"/>
      <c r="L37" s="223"/>
      <c r="M37" s="49"/>
      <c r="N37" s="1"/>
      <c r="O37" s="223"/>
      <c r="P37" s="223"/>
      <c r="Q37" s="223"/>
      <c r="R37" s="224"/>
    </row>
    <row r="38" spans="1:18" ht="21" customHeight="1">
      <c r="A38" s="222"/>
      <c r="B38" s="1056" t="s">
        <v>153</v>
      </c>
      <c r="C38" s="1057"/>
      <c r="D38" s="1057"/>
      <c r="E38" s="1057"/>
      <c r="F38" s="1057"/>
      <c r="G38" s="223"/>
      <c r="H38" s="49"/>
      <c r="I38" s="223"/>
      <c r="J38" s="1"/>
      <c r="K38" s="223"/>
      <c r="L38" s="223"/>
      <c r="M38" s="49"/>
      <c r="N38" s="1"/>
      <c r="O38" s="223"/>
      <c r="P38" s="223"/>
      <c r="Q38" s="225"/>
      <c r="R38" s="224"/>
    </row>
    <row r="39" spans="1:18" ht="21" customHeight="1">
      <c r="A39" s="222"/>
      <c r="B39" s="1056" t="s">
        <v>154</v>
      </c>
      <c r="C39" s="1057"/>
      <c r="D39" s="1057"/>
      <c r="E39" s="1057"/>
      <c r="F39" s="1057"/>
      <c r="G39" s="223"/>
      <c r="H39" s="49"/>
      <c r="I39" s="223"/>
      <c r="J39" s="1"/>
      <c r="K39" s="223"/>
      <c r="L39" s="223"/>
      <c r="M39" s="49"/>
      <c r="N39" s="1"/>
      <c r="O39" s="223"/>
      <c r="P39" s="223"/>
      <c r="Q39" s="223"/>
      <c r="R39" s="224"/>
    </row>
    <row r="40" spans="1:18" ht="21" customHeight="1">
      <c r="A40" s="222"/>
      <c r="B40" s="226"/>
      <c r="C40" s="226"/>
      <c r="D40" s="227"/>
      <c r="E40" s="228"/>
      <c r="F40" s="226"/>
      <c r="G40" s="1"/>
      <c r="H40" s="3"/>
      <c r="I40" s="3"/>
      <c r="J40" s="229"/>
      <c r="K40" s="3"/>
      <c r="L40" s="229"/>
      <c r="M40" s="3"/>
      <c r="N40" s="229"/>
      <c r="O40" s="229"/>
      <c r="P40" s="229"/>
      <c r="Q40" s="229"/>
      <c r="R40" s="224"/>
    </row>
    <row r="41" spans="1:18" ht="21" customHeight="1">
      <c r="A41" s="222"/>
      <c r="B41" s="1056" t="str">
        <f>"Die Zinsen und der Verwaltungskostenbetrag "&amp;YEAR(J3)-4&amp;" u. "&amp;YEAR(J3)-3&amp;" sind"</f>
        <v>Die Zinsen und der Verwaltungskostenbetrag 2008 u. 2009 sind</v>
      </c>
      <c r="C41" s="1057"/>
      <c r="D41" s="1057"/>
      <c r="E41" s="1057"/>
      <c r="F41" s="1057"/>
      <c r="G41" s="5"/>
      <c r="H41" s="230" t="s">
        <v>155</v>
      </c>
      <c r="I41" s="2"/>
      <c r="J41" s="5"/>
      <c r="K41" s="2"/>
      <c r="L41" s="5"/>
      <c r="M41" s="231"/>
      <c r="N41" s="5"/>
      <c r="O41" s="5"/>
      <c r="P41" s="5"/>
      <c r="Q41" s="5"/>
      <c r="R41" s="224"/>
    </row>
    <row r="42" spans="1:18" ht="21" customHeight="1" thickBot="1">
      <c r="A42" s="232"/>
      <c r="B42" s="1054" t="s">
        <v>156</v>
      </c>
      <c r="C42" s="1055"/>
      <c r="D42" s="1055"/>
      <c r="E42" s="1055"/>
      <c r="F42" s="1055"/>
      <c r="G42" s="233"/>
      <c r="H42" s="234" t="s">
        <v>157</v>
      </c>
      <c r="I42" s="235"/>
      <c r="J42" s="233"/>
      <c r="K42" s="235"/>
      <c r="L42" s="233"/>
      <c r="M42" s="236"/>
      <c r="N42" s="233"/>
      <c r="O42" s="233"/>
      <c r="P42" s="233"/>
      <c r="Q42" s="233"/>
      <c r="R42" s="237" t="s">
        <v>134</v>
      </c>
    </row>
    <row r="43" ht="13.5" thickTop="1">
      <c r="P43" s="55" t="s">
        <v>134</v>
      </c>
    </row>
    <row r="44" spans="1:18" ht="15">
      <c r="A44" s="238"/>
      <c r="B44" s="238"/>
      <c r="C44" s="239"/>
      <c r="D44" s="239"/>
      <c r="E44" s="239"/>
      <c r="F44" s="239"/>
      <c r="G44" s="239"/>
      <c r="H44" s="240"/>
      <c r="I44" s="239"/>
      <c r="J44" s="239"/>
      <c r="K44" s="239"/>
      <c r="L44" s="239"/>
      <c r="M44" s="240"/>
      <c r="N44" s="239"/>
      <c r="O44" s="239"/>
      <c r="P44" s="239"/>
      <c r="Q44" s="239"/>
      <c r="R44" s="239"/>
    </row>
    <row r="45" spans="1:18" ht="15">
      <c r="A45" s="239"/>
      <c r="B45" s="239"/>
      <c r="C45" s="239"/>
      <c r="D45" s="239"/>
      <c r="E45" s="239"/>
      <c r="F45" s="239"/>
      <c r="G45" s="239"/>
      <c r="H45" s="239"/>
      <c r="I45" s="239"/>
      <c r="J45" s="241"/>
      <c r="K45" s="241"/>
      <c r="L45" s="239"/>
      <c r="M45" s="239"/>
      <c r="N45" s="241"/>
      <c r="O45" s="239"/>
      <c r="P45" s="241"/>
      <c r="Q45" s="241"/>
      <c r="R45" s="241"/>
    </row>
    <row r="46" spans="1:18" ht="15">
      <c r="A46" s="239"/>
      <c r="B46" s="239"/>
      <c r="C46" s="239"/>
      <c r="D46" s="239"/>
      <c r="E46" s="239"/>
      <c r="F46" s="239"/>
      <c r="G46" s="239"/>
      <c r="H46" s="239"/>
      <c r="I46" s="239"/>
      <c r="J46" s="241"/>
      <c r="K46" s="241"/>
      <c r="L46" s="239"/>
      <c r="M46" s="239"/>
      <c r="N46" s="241"/>
      <c r="O46" s="239"/>
      <c r="P46" s="241"/>
      <c r="Q46" s="241"/>
      <c r="R46" s="241"/>
    </row>
    <row r="47" spans="1:18" ht="15">
      <c r="A47" s="239"/>
      <c r="B47" s="239"/>
      <c r="C47" s="239"/>
      <c r="D47" s="239"/>
      <c r="E47" s="239"/>
      <c r="F47" s="239"/>
      <c r="G47" s="239"/>
      <c r="H47" s="239"/>
      <c r="I47" s="239"/>
      <c r="J47" s="241"/>
      <c r="K47" s="241"/>
      <c r="L47" s="239"/>
      <c r="M47" s="239"/>
      <c r="N47" s="241"/>
      <c r="O47" s="239"/>
      <c r="P47" s="241"/>
      <c r="Q47" s="241"/>
      <c r="R47" s="241"/>
    </row>
    <row r="48" spans="1:18" ht="15">
      <c r="A48" s="239"/>
      <c r="B48" s="239"/>
      <c r="C48" s="239"/>
      <c r="D48" s="239"/>
      <c r="E48" s="239"/>
      <c r="F48" s="239"/>
      <c r="G48" s="239"/>
      <c r="H48" s="239"/>
      <c r="I48" s="239"/>
      <c r="J48" s="241"/>
      <c r="K48" s="241"/>
      <c r="L48" s="239"/>
      <c r="M48" s="239"/>
      <c r="N48" s="241"/>
      <c r="O48" s="239"/>
      <c r="P48" s="241"/>
      <c r="Q48" s="241"/>
      <c r="R48" s="241"/>
    </row>
    <row r="49" spans="1:18" ht="17.25">
      <c r="A49" s="242"/>
      <c r="B49" s="242"/>
      <c r="C49" s="242"/>
      <c r="D49" s="242"/>
      <c r="E49" s="239"/>
      <c r="F49" s="239"/>
      <c r="G49" s="242"/>
      <c r="H49" s="239"/>
      <c r="I49" s="239"/>
      <c r="J49" s="243"/>
      <c r="K49" s="244"/>
      <c r="L49" s="242"/>
      <c r="M49" s="239"/>
      <c r="N49" s="243"/>
      <c r="O49" s="242"/>
      <c r="P49" s="244"/>
      <c r="Q49" s="244"/>
      <c r="R49" s="243"/>
    </row>
  </sheetData>
  <sheetProtection/>
  <mergeCells count="14">
    <mergeCell ref="M27:N27"/>
    <mergeCell ref="Q27:R27"/>
    <mergeCell ref="B36:F36"/>
    <mergeCell ref="Q3:R3"/>
    <mergeCell ref="A5:R5"/>
    <mergeCell ref="A10:A11"/>
    <mergeCell ref="B10:B11"/>
    <mergeCell ref="E11:F11"/>
    <mergeCell ref="B42:F42"/>
    <mergeCell ref="B37:F37"/>
    <mergeCell ref="B38:F38"/>
    <mergeCell ref="B39:F39"/>
    <mergeCell ref="B41:F41"/>
    <mergeCell ref="E27:F27"/>
  </mergeCells>
  <printOptions/>
  <pageMargins left="0.26" right="0.2" top="0.62" bottom="0.38" header="0.4921259845" footer="0.22"/>
  <pageSetup fitToHeight="1" fitToWidth="1" horizontalDpi="600" verticalDpi="600" orientation="landscape" paperSize="9" scale="52" r:id="rId1"/>
  <headerFooter alignWithMargins="0">
    <oddFooter>&amp;L&amp;F&amp;C&amp;A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selection activeCell="A1" sqref="A1"/>
    </sheetView>
  </sheetViews>
  <sheetFormatPr defaultColWidth="11.421875" defaultRowHeight="12.75"/>
  <cols>
    <col min="1" max="1" width="3.7109375" style="245" customWidth="1"/>
    <col min="2" max="2" width="4.140625" style="245" customWidth="1"/>
    <col min="3" max="3" width="17.57421875" style="245" customWidth="1"/>
    <col min="4" max="4" width="27.140625" style="245" customWidth="1"/>
    <col min="5" max="5" width="7.00390625" style="245" customWidth="1"/>
    <col min="6" max="6" width="11.421875" style="245" customWidth="1"/>
    <col min="7" max="7" width="13.140625" style="245" customWidth="1"/>
    <col min="8" max="8" width="18.421875" style="245" customWidth="1"/>
    <col min="9" max="9" width="2.28125" style="245" customWidth="1"/>
    <col min="10" max="10" width="10.7109375" style="245" customWidth="1"/>
    <col min="11" max="15" width="11.421875" style="245" customWidth="1"/>
    <col min="16" max="16" width="3.00390625" style="245" customWidth="1"/>
    <col min="17" max="16384" width="11.421875" style="245" customWidth="1"/>
  </cols>
  <sheetData>
    <row r="1" spans="1:8" ht="21">
      <c r="A1" s="337"/>
      <c r="B1" s="338" t="str">
        <f>"Anlage Nr. 2.)    Auslastung Verfahren "&amp;YEAR(G3)-1&amp;"/"&amp;YEAR(G3)</f>
        <v>Anlage Nr. 2.)    Auslastung Verfahren 2011/2012</v>
      </c>
      <c r="C1" s="380"/>
      <c r="D1" s="380"/>
      <c r="E1" s="337"/>
      <c r="F1" s="337"/>
      <c r="G1" s="337"/>
      <c r="H1" s="337"/>
    </row>
    <row r="2" spans="1:8" ht="21" thickBot="1">
      <c r="A2" s="337"/>
      <c r="B2" s="815">
        <f>IF(Antrag!K26="vollstationäre Pflege","Anlage entfällt","")</f>
      </c>
      <c r="C2" s="337"/>
      <c r="D2" s="381" t="s">
        <v>49</v>
      </c>
      <c r="E2" s="337"/>
      <c r="F2" s="337"/>
      <c r="G2" s="337"/>
      <c r="H2" s="337"/>
    </row>
    <row r="3" spans="1:8" ht="21" thickBot="1">
      <c r="A3" s="337"/>
      <c r="B3" s="345" t="s">
        <v>273</v>
      </c>
      <c r="C3" s="337"/>
      <c r="D3" s="381"/>
      <c r="E3" s="1074">
        <f>Antrag!H10</f>
        <v>40544</v>
      </c>
      <c r="F3" s="1074"/>
      <c r="G3" s="623">
        <f>'Anlg.3 Berechnung'!F13</f>
        <v>41274</v>
      </c>
      <c r="H3" s="337"/>
    </row>
    <row r="4" spans="1:8" ht="17.25" customHeight="1">
      <c r="A4" s="337"/>
      <c r="B4" s="380"/>
      <c r="C4" s="381"/>
      <c r="D4" s="337"/>
      <c r="E4" s="337"/>
      <c r="F4" s="337"/>
      <c r="G4" s="337"/>
      <c r="H4" s="337"/>
    </row>
    <row r="5" spans="1:8" ht="21">
      <c r="A5" s="337"/>
      <c r="B5" s="1105">
        <f>Antrag!B5</f>
        <v>0</v>
      </c>
      <c r="C5" s="1106"/>
      <c r="D5" s="1106"/>
      <c r="E5" s="1106"/>
      <c r="F5" s="1106"/>
      <c r="G5" s="1106"/>
      <c r="H5" s="1106"/>
    </row>
    <row r="6" spans="1:8" ht="21" thickBot="1">
      <c r="A6" s="337"/>
      <c r="B6" s="382" t="s">
        <v>166</v>
      </c>
      <c r="C6" s="381"/>
      <c r="D6" s="337"/>
      <c r="E6" s="337"/>
      <c r="F6" s="337"/>
      <c r="G6" s="337"/>
      <c r="H6" s="337"/>
    </row>
    <row r="7" spans="1:8" s="283" customFormat="1" ht="25.5" customHeight="1" thickBot="1">
      <c r="A7" s="342"/>
      <c r="B7" s="356" t="s">
        <v>167</v>
      </c>
      <c r="C7" s="355"/>
      <c r="D7" s="342"/>
      <c r="E7" s="342"/>
      <c r="F7" s="342"/>
      <c r="G7" s="1107">
        <f>Antrag!K1</f>
        <v>0</v>
      </c>
      <c r="H7" s="1108"/>
    </row>
    <row r="8" spans="1:8" ht="6" customHeight="1">
      <c r="A8" s="337"/>
      <c r="B8" s="337"/>
      <c r="C8" s="337"/>
      <c r="D8" s="337"/>
      <c r="E8" s="337"/>
      <c r="F8" s="337"/>
      <c r="G8" s="337"/>
      <c r="H8" s="337"/>
    </row>
    <row r="9" spans="1:8" ht="17.25">
      <c r="A9" s="337"/>
      <c r="B9" s="383" t="s">
        <v>168</v>
      </c>
      <c r="C9" s="384"/>
      <c r="D9" s="368"/>
      <c r="E9" s="337"/>
      <c r="F9" s="337"/>
      <c r="G9" s="337"/>
      <c r="H9" s="337"/>
    </row>
    <row r="10" spans="1:8" ht="24.75" customHeight="1">
      <c r="A10" s="337"/>
      <c r="B10" s="385" t="s">
        <v>274</v>
      </c>
      <c r="C10" s="386"/>
      <c r="D10" s="337"/>
      <c r="E10" s="337"/>
      <c r="F10" s="337"/>
      <c r="G10" s="337"/>
      <c r="H10" s="337"/>
    </row>
    <row r="11" spans="1:8" ht="100.5" customHeight="1" thickBot="1">
      <c r="A11" s="337"/>
      <c r="B11" s="1075" t="s">
        <v>341</v>
      </c>
      <c r="C11" s="1076"/>
      <c r="D11" s="1076"/>
      <c r="E11" s="1076"/>
      <c r="F11" s="1076"/>
      <c r="G11" s="1076"/>
      <c r="H11" s="1076"/>
    </row>
    <row r="12" spans="1:8" ht="19.5" customHeight="1" thickBot="1">
      <c r="A12" s="337"/>
      <c r="B12" s="356" t="s">
        <v>169</v>
      </c>
      <c r="C12" s="337"/>
      <c r="D12" s="337"/>
      <c r="E12" s="337"/>
      <c r="F12" s="387" t="str">
        <f>IF(Antrag!K26=0,"-/-",IF(Antrag!K26=Antrag!O28,"-/-",Antrag!K28))</f>
        <v>-/-</v>
      </c>
      <c r="G12" s="337"/>
      <c r="H12" s="337"/>
    </row>
    <row r="13" spans="1:8" ht="13.5">
      <c r="A13" s="337"/>
      <c r="B13" s="388"/>
      <c r="C13" s="337"/>
      <c r="D13" s="337"/>
      <c r="E13" s="337"/>
      <c r="F13" s="337"/>
      <c r="G13" s="337"/>
      <c r="H13" s="337"/>
    </row>
    <row r="14" spans="1:8" ht="27" customHeight="1" thickBot="1">
      <c r="A14" s="337"/>
      <c r="B14" s="389" t="s">
        <v>170</v>
      </c>
      <c r="C14" s="337"/>
      <c r="D14" s="337"/>
      <c r="E14" s="337"/>
      <c r="F14" s="337"/>
      <c r="G14" s="337"/>
      <c r="H14" s="337"/>
    </row>
    <row r="15" spans="1:8" ht="19.5" customHeight="1" thickBot="1">
      <c r="A15" s="337"/>
      <c r="B15" s="387">
        <f>IF(Antrag!K26="Kurzzeitpflege","X","")</f>
      </c>
      <c r="C15" s="356" t="s">
        <v>171</v>
      </c>
      <c r="D15" s="337"/>
      <c r="E15" s="337"/>
      <c r="F15" s="337"/>
      <c r="G15" s="337"/>
      <c r="H15" s="337"/>
    </row>
    <row r="16" spans="1:8" ht="19.5" customHeight="1" thickBot="1">
      <c r="A16" s="337"/>
      <c r="B16" s="387">
        <f>IF(Antrag!K26="Tagespflege","X","")</f>
      </c>
      <c r="C16" s="356" t="s">
        <v>172</v>
      </c>
      <c r="D16" s="337"/>
      <c r="E16" s="1109">
        <f>Antrag!K66</f>
        <v>0</v>
      </c>
      <c r="F16" s="1111" t="str">
        <f>IF(OR(B16="X",B17="X",AND(B15="",B16="",B17="")),"  Öffnungstage pro Woche","")</f>
        <v>  Öffnungstage pro Woche</v>
      </c>
      <c r="G16" s="1112"/>
      <c r="H16" s="1112"/>
    </row>
    <row r="17" spans="1:8" ht="19.5" customHeight="1" thickBot="1">
      <c r="A17" s="337"/>
      <c r="B17" s="387">
        <f>IF(Antrag!K26="Nachtpflege","X","")</f>
      </c>
      <c r="C17" s="356" t="s">
        <v>173</v>
      </c>
      <c r="D17" s="337"/>
      <c r="E17" s="1110"/>
      <c r="F17" s="1111"/>
      <c r="G17" s="1112"/>
      <c r="H17" s="1112"/>
    </row>
    <row r="18" spans="1:8" ht="11.25" customHeight="1" thickBot="1">
      <c r="A18" s="337"/>
      <c r="B18" s="337"/>
      <c r="C18" s="337"/>
      <c r="D18" s="337"/>
      <c r="E18" s="337"/>
      <c r="F18" s="337"/>
      <c r="G18" s="337"/>
      <c r="H18" s="337"/>
    </row>
    <row r="19" spans="1:8" ht="19.5" customHeight="1" thickBot="1">
      <c r="A19" s="337"/>
      <c r="B19" s="1098">
        <f>Antrag!K63</f>
        <v>0</v>
      </c>
      <c r="C19" s="1099"/>
      <c r="D19" s="355" t="s">
        <v>317</v>
      </c>
      <c r="E19" s="337"/>
      <c r="F19" s="337"/>
      <c r="G19" s="337"/>
      <c r="H19" s="337"/>
    </row>
    <row r="20" spans="1:8" ht="13.5" customHeight="1">
      <c r="A20" s="337"/>
      <c r="B20" s="337"/>
      <c r="C20" s="337"/>
      <c r="D20" s="337"/>
      <c r="E20" s="337"/>
      <c r="F20" s="337"/>
      <c r="G20" s="337"/>
      <c r="H20" s="337"/>
    </row>
    <row r="21" spans="1:8" ht="66" customHeight="1">
      <c r="A21" s="337"/>
      <c r="B21" s="1100" t="str">
        <f>"Der Nachweiszeitraum umfasst in der Regel das letzte vollständig abgerechnete Kalenderjahr; hier grds.:         "&amp;YEAR(E3)-2&amp;".            Abweichende Nachweiszeiträume sind zu begründen. ( z.B. unterjähriger Inbetriebnahmezeitpunkt, Platzzahländerung, etc. //  Bei Tages- oder Nachtpflegeeinrichtungen auch Änderung der Öffnungstage je Woche )"</f>
        <v>Der Nachweiszeitraum umfasst in der Regel das letzte vollständig abgerechnete Kalenderjahr; hier grds.:         2009.            Abweichende Nachweiszeiträume sind zu begründen. ( z.B. unterjähriger Inbetriebnahmezeitpunkt, Platzzahländerung, etc. //  Bei Tages- oder Nachtpflegeeinrichtungen auch Änderung der Öffnungstage je Woche )</v>
      </c>
      <c r="C21" s="1100"/>
      <c r="D21" s="1100"/>
      <c r="E21" s="1100"/>
      <c r="F21" s="1100"/>
      <c r="G21" s="1100"/>
      <c r="H21" s="1101"/>
    </row>
    <row r="22" spans="1:8" ht="12.75" customHeight="1" thickBot="1">
      <c r="A22" s="337"/>
      <c r="B22" s="337"/>
      <c r="C22" s="337"/>
      <c r="D22" s="337"/>
      <c r="E22" s="337"/>
      <c r="F22" s="337"/>
      <c r="G22" s="337"/>
      <c r="H22" s="337"/>
    </row>
    <row r="23" spans="1:8" ht="18" customHeight="1" thickTop="1">
      <c r="A23" s="337"/>
      <c r="B23" s="1102" t="s">
        <v>318</v>
      </c>
      <c r="C23" s="1103"/>
      <c r="D23" s="1103"/>
      <c r="E23" s="1103"/>
      <c r="F23" s="1103"/>
      <c r="G23" s="1103"/>
      <c r="H23" s="1104"/>
    </row>
    <row r="24" spans="1:8" ht="18" customHeight="1">
      <c r="A24" s="337"/>
      <c r="B24" s="1087" t="s">
        <v>152</v>
      </c>
      <c r="C24" s="1088"/>
      <c r="D24" s="1088"/>
      <c r="E24" s="1088"/>
      <c r="F24" s="1088"/>
      <c r="G24" s="1088"/>
      <c r="H24" s="1089"/>
    </row>
    <row r="25" spans="1:8" ht="18" customHeight="1">
      <c r="A25" s="337"/>
      <c r="B25" s="1087" t="s">
        <v>174</v>
      </c>
      <c r="C25" s="1088"/>
      <c r="D25" s="1088"/>
      <c r="E25" s="1088"/>
      <c r="F25" s="1088"/>
      <c r="G25" s="1088"/>
      <c r="H25" s="1089"/>
    </row>
    <row r="26" spans="1:8" ht="14.25">
      <c r="A26" s="337"/>
      <c r="B26" s="1090" t="s">
        <v>175</v>
      </c>
      <c r="C26" s="1091"/>
      <c r="D26" s="1091"/>
      <c r="E26" s="1091"/>
      <c r="F26" s="1091"/>
      <c r="G26" s="1091"/>
      <c r="H26" s="1092"/>
    </row>
    <row r="27" spans="2:8" ht="12.75">
      <c r="B27" s="285"/>
      <c r="C27" s="246"/>
      <c r="D27" s="246"/>
      <c r="E27" s="246"/>
      <c r="F27" s="246"/>
      <c r="G27" s="246"/>
      <c r="H27" s="286"/>
    </row>
    <row r="28" spans="2:8" ht="12.75">
      <c r="B28" s="285"/>
      <c r="C28" s="246"/>
      <c r="D28" s="287"/>
      <c r="E28" s="246"/>
      <c r="F28" s="246"/>
      <c r="G28" s="246"/>
      <c r="H28" s="286"/>
    </row>
    <row r="29" spans="2:8" ht="12.75">
      <c r="B29" s="285"/>
      <c r="C29" s="246"/>
      <c r="D29" s="287"/>
      <c r="E29" s="246"/>
      <c r="F29" s="246"/>
      <c r="G29" s="246"/>
      <c r="H29" s="286"/>
    </row>
    <row r="30" spans="2:8" ht="12.75">
      <c r="B30" s="285"/>
      <c r="C30" s="246"/>
      <c r="D30" s="287"/>
      <c r="E30" s="246"/>
      <c r="F30" s="246"/>
      <c r="G30" s="246"/>
      <c r="H30" s="286"/>
    </row>
    <row r="31" spans="2:8" ht="12.75">
      <c r="B31" s="288"/>
      <c r="C31" s="289"/>
      <c r="D31" s="290"/>
      <c r="E31" s="289"/>
      <c r="F31" s="289"/>
      <c r="G31" s="289"/>
      <c r="H31" s="291"/>
    </row>
    <row r="32" spans="1:8" ht="12.75">
      <c r="A32" s="337"/>
      <c r="B32" s="394" t="s">
        <v>155</v>
      </c>
      <c r="C32" s="340"/>
      <c r="D32" s="393"/>
      <c r="E32" s="395" t="s">
        <v>155</v>
      </c>
      <c r="F32" s="340"/>
      <c r="G32" s="340"/>
      <c r="H32" s="392"/>
    </row>
    <row r="33" spans="1:8" ht="33.75" customHeight="1" thickBot="1">
      <c r="A33" s="337"/>
      <c r="B33" s="1093" t="s">
        <v>176</v>
      </c>
      <c r="C33" s="1094"/>
      <c r="D33" s="396"/>
      <c r="E33" s="1095" t="s">
        <v>157</v>
      </c>
      <c r="F33" s="1096"/>
      <c r="G33" s="1096"/>
      <c r="H33" s="1097"/>
    </row>
    <row r="34" ht="23.25" customHeight="1" thickTop="1"/>
    <row r="35" spans="1:8" s="292" customFormat="1" ht="12.75">
      <c r="A35" s="294"/>
      <c r="B35" s="293" t="s">
        <v>177</v>
      </c>
      <c r="C35" s="294"/>
      <c r="D35" s="294"/>
      <c r="E35" s="294"/>
      <c r="F35" s="294"/>
      <c r="G35" s="294"/>
      <c r="H35" s="294"/>
    </row>
    <row r="36" spans="1:8" s="292" customFormat="1" ht="12.75">
      <c r="A36" s="294"/>
      <c r="B36" s="1077" t="s">
        <v>178</v>
      </c>
      <c r="C36" s="1077"/>
      <c r="D36" s="1077"/>
      <c r="E36" s="1077"/>
      <c r="F36" s="1077"/>
      <c r="G36" s="1077"/>
      <c r="H36" s="295">
        <f>B19/IF(AND(B15="",B16="",B17=""),1000000000000000,ROUND(F12*(IF(B15&lt;&gt;"",365,IF(E16&lt;5,5*50,IF(E16=7,365,E16*50)))),0))</f>
        <v>0</v>
      </c>
    </row>
    <row r="37" spans="1:8" s="292" customFormat="1" ht="12.75">
      <c r="A37" s="294"/>
      <c r="B37" s="1077"/>
      <c r="C37" s="1077"/>
      <c r="D37" s="1077"/>
      <c r="E37" s="1077"/>
      <c r="F37" s="1077"/>
      <c r="G37" s="1077"/>
      <c r="H37" s="294"/>
    </row>
    <row r="38" spans="1:8" s="292" customFormat="1" ht="4.5" customHeight="1" thickBot="1">
      <c r="A38" s="294"/>
      <c r="B38" s="294"/>
      <c r="C38" s="294"/>
      <c r="D38" s="294"/>
      <c r="E38" s="294"/>
      <c r="F38" s="294"/>
      <c r="G38" s="294"/>
      <c r="H38" s="294"/>
    </row>
    <row r="39" spans="1:8" s="292" customFormat="1" ht="24" customHeight="1">
      <c r="A39" s="294"/>
      <c r="B39" s="296" t="s">
        <v>179</v>
      </c>
      <c r="C39" s="297"/>
      <c r="D39" s="1078" t="s">
        <v>332</v>
      </c>
      <c r="E39" s="1079"/>
      <c r="F39" s="1079"/>
      <c r="G39" s="1079"/>
      <c r="H39" s="1080"/>
    </row>
    <row r="40" spans="1:8" s="292" customFormat="1" ht="24" customHeight="1">
      <c r="A40" s="294"/>
      <c r="B40" s="298" t="s">
        <v>180</v>
      </c>
      <c r="C40" s="299"/>
      <c r="D40" s="1081"/>
      <c r="E40" s="1082"/>
      <c r="F40" s="1082"/>
      <c r="G40" s="1082"/>
      <c r="H40" s="1083"/>
    </row>
    <row r="41" spans="1:8" s="292" customFormat="1" ht="24" customHeight="1" thickBot="1">
      <c r="A41" s="294"/>
      <c r="B41" s="300" t="s">
        <v>85</v>
      </c>
      <c r="C41" s="301"/>
      <c r="D41" s="1084"/>
      <c r="E41" s="1085"/>
      <c r="F41" s="1085"/>
      <c r="G41" s="1085"/>
      <c r="H41" s="1086"/>
    </row>
    <row r="42" spans="2:8" s="292" customFormat="1" ht="3.75" customHeight="1">
      <c r="B42" s="377"/>
      <c r="D42" s="378"/>
      <c r="E42" s="379"/>
      <c r="F42" s="379"/>
      <c r="G42" s="379"/>
      <c r="H42" s="379"/>
    </row>
    <row r="43" ht="12.75">
      <c r="D43" s="246"/>
    </row>
  </sheetData>
  <sheetProtection password="DB77" sheet="1" objects="1" scenarios="1"/>
  <mergeCells count="16">
    <mergeCell ref="B23:H23"/>
    <mergeCell ref="B24:H24"/>
    <mergeCell ref="B5:H5"/>
    <mergeCell ref="G7:H7"/>
    <mergeCell ref="E16:E17"/>
    <mergeCell ref="F16:H17"/>
    <mergeCell ref="E3:F3"/>
    <mergeCell ref="B11:H11"/>
    <mergeCell ref="B36:G37"/>
    <mergeCell ref="D39:H41"/>
    <mergeCell ref="B25:H25"/>
    <mergeCell ref="B26:H26"/>
    <mergeCell ref="B33:C33"/>
    <mergeCell ref="E33:H33"/>
    <mergeCell ref="B19:C19"/>
    <mergeCell ref="B21:H21"/>
  </mergeCells>
  <printOptions/>
  <pageMargins left="0.787401575" right="0.61" top="0.5" bottom="0.4" header="0.4921259845" footer="0.23"/>
  <pageSetup fitToHeight="1" fitToWidth="1" horizontalDpi="600" verticalDpi="600" orientation="portrait" paperSize="9" scale="87" r:id="rId2"/>
  <headerFooter alignWithMargins="0">
    <oddFooter>&amp;L&amp;F&amp;R&amp;A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Q166"/>
  <sheetViews>
    <sheetView zoomScalePageLayoutView="0" workbookViewId="0" topLeftCell="A133">
      <selection activeCell="E165" sqref="E165"/>
    </sheetView>
  </sheetViews>
  <sheetFormatPr defaultColWidth="11.421875" defaultRowHeight="12.75"/>
  <cols>
    <col min="1" max="1" width="13.8515625" style="337" customWidth="1"/>
    <col min="2" max="2" width="12.00390625" style="337" customWidth="1"/>
    <col min="3" max="3" width="15.00390625" style="337" customWidth="1"/>
    <col min="4" max="4" width="15.57421875" style="337" customWidth="1"/>
    <col min="5" max="5" width="17.00390625" style="337" customWidth="1"/>
    <col min="6" max="6" width="24.28125" style="337" customWidth="1"/>
    <col min="7" max="7" width="8.57421875" style="245" customWidth="1"/>
    <col min="8" max="8" width="15.8515625" style="245" customWidth="1"/>
    <col min="9" max="9" width="15.28125" style="245" customWidth="1"/>
    <col min="10" max="10" width="15.57421875" style="245" customWidth="1"/>
    <col min="11" max="12" width="11.421875" style="245" customWidth="1"/>
    <col min="13" max="16384" width="11.421875" style="337" customWidth="1"/>
  </cols>
  <sheetData>
    <row r="1" spans="1:17" ht="11.25" customHeight="1" hidden="1" thickTop="1">
      <c r="A1" s="624" t="s">
        <v>45</v>
      </c>
      <c r="B1" s="625" t="s">
        <v>44</v>
      </c>
      <c r="C1" s="323"/>
      <c r="D1" s="402"/>
      <c r="E1" s="402"/>
      <c r="F1" s="402"/>
      <c r="G1" s="791"/>
      <c r="H1" s="791"/>
      <c r="I1" s="791"/>
      <c r="J1" s="791"/>
      <c r="K1" s="791"/>
      <c r="L1" s="791"/>
      <c r="M1" s="402"/>
      <c r="N1" s="402"/>
      <c r="O1" s="402"/>
      <c r="P1" s="402"/>
      <c r="Q1" s="402"/>
    </row>
    <row r="2" spans="1:17" ht="10.5" customHeight="1" hidden="1">
      <c r="A2" s="324">
        <f>IF(B116="je Pflegeplatz",E116,0)</f>
        <v>0</v>
      </c>
      <c r="B2" s="310">
        <f>IF(B116="je Pflegeplatz",F116,0)</f>
      </c>
      <c r="C2" s="313" t="s">
        <v>208</v>
      </c>
      <c r="D2" s="340"/>
      <c r="E2" s="340"/>
      <c r="F2" s="340"/>
      <c r="G2" s="246"/>
      <c r="H2" s="246"/>
      <c r="I2" s="246"/>
      <c r="J2" s="246"/>
      <c r="K2" s="246"/>
      <c r="L2" s="246"/>
      <c r="M2" s="340"/>
      <c r="N2" s="340"/>
      <c r="O2" s="340"/>
      <c r="P2" s="340"/>
      <c r="Q2" s="340"/>
    </row>
    <row r="3" spans="1:17" ht="9.75" customHeight="1" hidden="1">
      <c r="A3" s="325">
        <f>IF(B116="Mehrbettzimmer",E116,0)</f>
        <v>0</v>
      </c>
      <c r="B3" s="311">
        <f>IF(B116="Mehrbettzimmer",F116,0)</f>
        <v>0</v>
      </c>
      <c r="C3" s="314" t="s">
        <v>209</v>
      </c>
      <c r="D3" s="340"/>
      <c r="E3" s="340"/>
      <c r="F3" s="340"/>
      <c r="G3" s="246"/>
      <c r="H3" s="246"/>
      <c r="I3" s="246"/>
      <c r="J3" s="246"/>
      <c r="K3" s="246"/>
      <c r="L3" s="246"/>
      <c r="M3" s="340"/>
      <c r="N3" s="340"/>
      <c r="O3" s="340"/>
      <c r="P3" s="340"/>
      <c r="Q3" s="340"/>
    </row>
    <row r="4" spans="1:17" ht="10.5" customHeight="1" hidden="1" thickBot="1">
      <c r="A4" s="326">
        <f>IF(B117="Einbettzimmer",E117,0)</f>
        <v>0</v>
      </c>
      <c r="B4" s="312">
        <f>IF(B117="Einbettzimmer",F117,0)</f>
        <v>0</v>
      </c>
      <c r="C4" s="315" t="s">
        <v>210</v>
      </c>
      <c r="D4" s="340"/>
      <c r="E4" s="340"/>
      <c r="F4" s="340"/>
      <c r="G4" s="246"/>
      <c r="H4" s="246"/>
      <c r="I4" s="246"/>
      <c r="J4" s="246"/>
      <c r="K4" s="246"/>
      <c r="L4" s="246"/>
      <c r="M4" s="340"/>
      <c r="N4" s="340"/>
      <c r="O4" s="340"/>
      <c r="P4" s="340"/>
      <c r="Q4" s="340"/>
    </row>
    <row r="5" spans="1:5" ht="12" customHeight="1" hidden="1">
      <c r="A5" s="403"/>
      <c r="B5" s="340"/>
      <c r="C5" s="340"/>
      <c r="D5" s="340"/>
      <c r="E5" s="340"/>
    </row>
    <row r="6" spans="1:6" ht="12" customHeight="1" hidden="1" thickBot="1">
      <c r="A6" s="1291"/>
      <c r="B6" s="1292"/>
      <c r="C6" s="1292"/>
      <c r="D6" s="1292"/>
      <c r="E6" s="1292"/>
      <c r="F6" s="1293"/>
    </row>
    <row r="7" spans="1:6" ht="25.5" customHeight="1" thickBot="1" thickTop="1">
      <c r="A7" s="1296">
        <f>Antrag!B5</f>
        <v>0</v>
      </c>
      <c r="B7" s="1297"/>
      <c r="C7" s="1297"/>
      <c r="D7" s="1297"/>
      <c r="E7" s="1298"/>
      <c r="F7" s="652" t="str">
        <f>"Az.:   "&amp;Antrag!K1</f>
        <v>Az.:   </v>
      </c>
    </row>
    <row r="8" spans="1:6" ht="11.25" customHeight="1" thickTop="1">
      <c r="A8" s="1294" t="s">
        <v>283</v>
      </c>
      <c r="B8" s="1295"/>
      <c r="C8" s="1129"/>
      <c r="D8" s="1129"/>
      <c r="E8" s="1129"/>
      <c r="F8" s="1130"/>
    </row>
    <row r="9" spans="1:8" ht="13.5" customHeight="1">
      <c r="A9" s="1129"/>
      <c r="B9" s="1129"/>
      <c r="C9" s="647">
        <f>YEAR(F13)-1</f>
        <v>2011</v>
      </c>
      <c r="D9" s="648" t="s">
        <v>200</v>
      </c>
      <c r="E9" s="987">
        <f>IF(OR(Antrag!K20="nein",Antrag!K20=""),1705,IF(A12="mit Indexdummys:",MAX(E129:E144),VLOOKUP(E13,A129:F144,5)))</f>
        <v>1705</v>
      </c>
      <c r="F9" s="1299" t="s">
        <v>48</v>
      </c>
      <c r="H9" s="934"/>
    </row>
    <row r="10" spans="1:8" ht="13.5" customHeight="1">
      <c r="A10" s="1281" t="s">
        <v>358</v>
      </c>
      <c r="B10" s="1282"/>
      <c r="C10" s="647">
        <f>C9</f>
        <v>2011</v>
      </c>
      <c r="D10" s="648" t="s">
        <v>201</v>
      </c>
      <c r="E10" s="987">
        <f>IF(A12="mit Indexdummys:",MAX(F129:F144),VLOOKUP(E13,A129:F144,6))</f>
        <v>1499</v>
      </c>
      <c r="F10" s="1211"/>
      <c r="H10" s="934"/>
    </row>
    <row r="11" spans="1:9" ht="13.5" customHeight="1">
      <c r="A11" s="1014"/>
      <c r="B11" s="1282"/>
      <c r="C11" s="649" t="str">
        <f>YEAR(F13)-1&amp;"/"&amp;YEAR(F13)</f>
        <v>2011/2012</v>
      </c>
      <c r="D11" s="648" t="s">
        <v>202</v>
      </c>
      <c r="E11" s="988">
        <f>IF(A12="mit Indexdummys:",MAX(D151:D166),VLOOKUP(E13,A129:F144,3))</f>
        <v>561.2</v>
      </c>
      <c r="F11" s="1300" t="s">
        <v>217</v>
      </c>
      <c r="H11" s="283"/>
      <c r="I11" s="283"/>
    </row>
    <row r="12" spans="1:9" ht="13.5" customHeight="1" thickBot="1">
      <c r="A12" s="1288">
        <f>IF(VLOOKUP(E13,A129:F144,3)=0,"mit Indexdummys:","")</f>
      </c>
      <c r="B12" s="1289"/>
      <c r="C12" s="650" t="str">
        <f>C11</f>
        <v>2011/2012</v>
      </c>
      <c r="D12" s="651" t="s">
        <v>220</v>
      </c>
      <c r="E12" s="989">
        <f>IF(A12="mit Indexdummys:",MAX(C151:C166),VLOOKUP(E13,A129:F144,2))</f>
        <v>115.8</v>
      </c>
      <c r="F12" s="1301"/>
      <c r="H12" s="283"/>
      <c r="I12" s="283"/>
    </row>
    <row r="13" spans="1:12" s="342" customFormat="1" ht="24.75" customHeight="1" thickBot="1" thickTop="1">
      <c r="A13" s="747" t="s">
        <v>285</v>
      </c>
      <c r="B13" s="748"/>
      <c r="C13" s="757"/>
      <c r="D13" s="746"/>
      <c r="E13" s="764">
        <f>IF(Antrag!H10=0,"",Antrag!H10)</f>
        <v>40544</v>
      </c>
      <c r="F13" s="765">
        <f>IF(Antrag!H10=0,"",VLOOKUP(E13,$A$129:$G$144,7))</f>
        <v>41274</v>
      </c>
      <c r="G13" s="245"/>
      <c r="H13" s="283"/>
      <c r="I13" s="283"/>
      <c r="J13" s="245"/>
      <c r="K13" s="245"/>
      <c r="L13" s="245"/>
    </row>
    <row r="14" spans="1:12" s="342" customFormat="1" ht="14.25" customHeight="1" thickBot="1" thickTop="1">
      <c r="A14" s="1280" t="str">
        <f>IF(Antrag!K12="Folgeantrag","Folgeantrag",IF(Antrag!K40&gt;0,"Folgeantrag","Erstantrag"))</f>
        <v>Erstantrag</v>
      </c>
      <c r="B14" s="1108"/>
      <c r="C14" s="758"/>
      <c r="D14" s="752"/>
      <c r="E14" s="769" t="s">
        <v>293</v>
      </c>
      <c r="F14" s="768" t="s">
        <v>294</v>
      </c>
      <c r="G14" s="245"/>
      <c r="H14" s="283"/>
      <c r="I14" s="283"/>
      <c r="J14" s="283"/>
      <c r="K14" s="283"/>
      <c r="L14" s="283"/>
    </row>
    <row r="15" spans="1:12" s="342" customFormat="1" ht="14.25" customHeight="1">
      <c r="A15" s="750" t="s">
        <v>328</v>
      </c>
      <c r="B15" s="751"/>
      <c r="C15" s="751"/>
      <c r="D15" s="770" t="s">
        <v>295</v>
      </c>
      <c r="E15" s="885">
        <f>Antrag!H15</f>
        <v>0</v>
      </c>
      <c r="F15" s="874">
        <f>Antrag!I15</f>
        <v>0</v>
      </c>
      <c r="G15" s="245"/>
      <c r="H15" s="283"/>
      <c r="I15" s="283"/>
      <c r="J15" s="283"/>
      <c r="K15" s="283"/>
      <c r="L15" s="283"/>
    </row>
    <row r="16" spans="1:12" s="342" customFormat="1" ht="14.25" customHeight="1" thickBot="1">
      <c r="A16" s="750" t="s">
        <v>327</v>
      </c>
      <c r="B16" s="751"/>
      <c r="C16" s="751"/>
      <c r="D16" s="771" t="s">
        <v>296</v>
      </c>
      <c r="E16" s="886">
        <f>Antrag!H16</f>
        <v>0</v>
      </c>
      <c r="F16" s="875">
        <f>Antrag!I16</f>
        <v>0</v>
      </c>
      <c r="G16" s="245"/>
      <c r="H16" s="283"/>
      <c r="I16" s="283"/>
      <c r="J16" s="283"/>
      <c r="K16" s="283"/>
      <c r="L16" s="283"/>
    </row>
    <row r="17" spans="1:12" s="342" customFormat="1" ht="14.25" customHeight="1">
      <c r="A17" s="1290" t="s">
        <v>333</v>
      </c>
      <c r="B17" s="1185"/>
      <c r="C17" s="1185"/>
      <c r="D17" s="1185"/>
      <c r="E17" s="1185"/>
      <c r="F17" s="746"/>
      <c r="G17" s="245"/>
      <c r="H17" s="283"/>
      <c r="I17" s="283"/>
      <c r="J17" s="283"/>
      <c r="K17" s="283"/>
      <c r="L17" s="283"/>
    </row>
    <row r="18" spans="1:6" ht="14.25" customHeight="1">
      <c r="A18" s="1113" t="s">
        <v>422</v>
      </c>
      <c r="B18" s="1114"/>
      <c r="C18" s="1114"/>
      <c r="D18" s="1114"/>
      <c r="E18" s="1115"/>
      <c r="F18" s="759">
        <f>Antrag!K18</f>
        <v>0</v>
      </c>
    </row>
    <row r="19" spans="1:8" ht="14.25" customHeight="1">
      <c r="A19" s="1279" t="s">
        <v>6</v>
      </c>
      <c r="B19" s="1129"/>
      <c r="C19" s="1129"/>
      <c r="D19" s="1129"/>
      <c r="E19" s="1130"/>
      <c r="F19" s="946">
        <f>Antrag!K20</f>
        <v>0</v>
      </c>
      <c r="H19" s="956"/>
    </row>
    <row r="20" spans="1:6" ht="12.75">
      <c r="A20" s="1113" t="s">
        <v>277</v>
      </c>
      <c r="B20" s="1114"/>
      <c r="C20" s="1114"/>
      <c r="D20" s="1114"/>
      <c r="E20" s="1115"/>
      <c r="F20" s="743">
        <f>Antrag!K26</f>
        <v>0</v>
      </c>
    </row>
    <row r="21" spans="1:6" ht="15" customHeight="1">
      <c r="A21" s="1113" t="str">
        <f>IF(OR(F20=0,F20="vollstationäre Pflege"),"4.a.) Platzzahl lt. Versorgungsvertrag","4.)    Platzzahl lt. Versorgungsvertrag")</f>
        <v>4.a.) Platzzahl lt. Versorgungsvertrag</v>
      </c>
      <c r="B21" s="1114"/>
      <c r="C21" s="1114"/>
      <c r="D21" s="1114"/>
      <c r="E21" s="1115"/>
      <c r="F21" s="645">
        <f>Antrag!K28</f>
        <v>0</v>
      </c>
    </row>
    <row r="22" spans="1:6" ht="15.75" customHeight="1">
      <c r="A22" s="1113" t="str">
        <f>IF(OR(F20=0,F20="vollstationäre Pflege"),"   b.) davon eingestreute Kurzzeitpflege)","")</f>
        <v>   b.) davon eingestreute Kurzzeitpflege)</v>
      </c>
      <c r="B22" s="1114"/>
      <c r="C22" s="1114"/>
      <c r="D22" s="1114"/>
      <c r="E22" s="1115"/>
      <c r="F22" s="876">
        <f>Antrag!K29</f>
        <v>0</v>
      </c>
    </row>
    <row r="23" spans="1:6" ht="12.75">
      <c r="A23" s="1126" t="str">
        <f>IF(OR(F20=0,F20="vollstationäre Pflege"),"5.)    Anzahl Einbettzimmer ","5.)    entfällt")</f>
        <v>5.)    Anzahl Einbettzimmer </v>
      </c>
      <c r="B23" s="1127"/>
      <c r="C23" s="1127"/>
      <c r="D23" s="1129"/>
      <c r="E23" s="1130"/>
      <c r="F23" s="877">
        <f>Antrag!K30</f>
        <v>0</v>
      </c>
    </row>
    <row r="24" spans="1:6" ht="12.75">
      <c r="A24" s="1113" t="str">
        <f>IF(A23="5.)    entfällt","","        Differenzbetrag zum Mehrbettzimmer, täglich ")</f>
        <v>        Differenzbetrag zum Mehrbettzimmer, täglich </v>
      </c>
      <c r="B24" s="1114"/>
      <c r="C24" s="1114"/>
      <c r="D24" s="1114"/>
      <c r="E24" s="1116"/>
      <c r="F24" s="878">
        <f>Antrag!K31</f>
        <v>0</v>
      </c>
    </row>
    <row r="25" spans="1:8" ht="13.5" thickBot="1">
      <c r="A25" s="1126" t="s">
        <v>278</v>
      </c>
      <c r="B25" s="1127"/>
      <c r="C25" s="1127"/>
      <c r="D25" s="1128"/>
      <c r="E25" s="887">
        <f>IF(F25=0,0,ROUND(F25/F21,2))</f>
        <v>0</v>
      </c>
      <c r="F25" s="879">
        <f>Antrag!K33</f>
        <v>0</v>
      </c>
      <c r="H25" s="749"/>
    </row>
    <row r="26" spans="1:12" s="889" customFormat="1" ht="18.75" customHeight="1" thickBot="1" thickTop="1">
      <c r="A26" s="1123" t="s">
        <v>279</v>
      </c>
      <c r="B26" s="1124"/>
      <c r="C26" s="1124"/>
      <c r="D26" s="1125"/>
      <c r="E26" s="888">
        <f>IF(F26=0,0,ROUND(F26/F21,2))</f>
        <v>0</v>
      </c>
      <c r="F26" s="880">
        <f>Antrag!K34</f>
        <v>0</v>
      </c>
      <c r="G26" s="245"/>
      <c r="H26" s="245"/>
      <c r="I26" s="247"/>
      <c r="J26" s="247"/>
      <c r="K26" s="247"/>
      <c r="L26" s="247"/>
    </row>
    <row r="27" spans="1:12" s="889" customFormat="1" ht="15.75" customHeight="1" thickTop="1">
      <c r="A27" s="1131" t="str">
        <f>IF(OR(F27&lt;&gt;0,F29&lt;&gt;0,F20=0),"7.)   Mietverträge: Aktuelle Mieten für den o.g. Antragszeitraum pro Jahr","7.)    entfällt")</f>
        <v>7.)   Mietverträge: Aktuelle Mieten für den o.g. Antragszeitraum pro Jahr</v>
      </c>
      <c r="B27" s="1132"/>
      <c r="C27" s="1132"/>
      <c r="D27" s="1132"/>
      <c r="E27" s="1133"/>
      <c r="F27" s="1151">
        <f>Antrag!K37</f>
        <v>0</v>
      </c>
      <c r="G27" s="245"/>
      <c r="H27" s="245"/>
      <c r="I27" s="247"/>
      <c r="J27" s="247"/>
      <c r="K27" s="247"/>
      <c r="L27" s="247"/>
    </row>
    <row r="28" spans="1:6" ht="12.75" customHeight="1">
      <c r="A28" s="1113" t="str">
        <f>IF(AND(F20&lt;&gt;0,F27=0,F29=0),"",IF(OR(F20=0,F27&lt;&gt;0),"  a.) Mieten für das Gebäude (ggfls. zuzüglich Inventarmiete)","  a.) entfällt"))</f>
        <v>  a.) Mieten für das Gebäude (ggfls. zuzüglich Inventarmiete)</v>
      </c>
      <c r="B28" s="1134"/>
      <c r="C28" s="1134"/>
      <c r="D28" s="1134"/>
      <c r="E28" s="1147"/>
      <c r="F28" s="1152"/>
    </row>
    <row r="29" spans="1:6" ht="13.5" thickBot="1">
      <c r="A29" s="1113" t="str">
        <f>IF(AND(F20&lt;&gt;0,F27=0,F29=0),"",IF(OR(F20=0,F29&lt;&gt;0),"  b.) Mieten für das Inventar (bei Gebäudeeigentum)","  b.) entfällt"))</f>
        <v>  b.) Mieten für das Inventar (bei Gebäudeeigentum)</v>
      </c>
      <c r="B29" s="1134"/>
      <c r="C29" s="1134"/>
      <c r="D29" s="1135"/>
      <c r="E29" s="1136"/>
      <c r="F29" s="881">
        <f>Antrag!K38</f>
        <v>0</v>
      </c>
    </row>
    <row r="30" spans="1:10" ht="18" customHeight="1">
      <c r="A30" s="760" t="s">
        <v>329</v>
      </c>
      <c r="B30" s="761"/>
      <c r="C30" s="762"/>
      <c r="D30" s="754" t="s">
        <v>202</v>
      </c>
      <c r="E30" s="755">
        <f>IF(F30="",0,VLOOKUP(F30,A151:D166,4))</f>
        <v>561.2</v>
      </c>
      <c r="F30" s="1139">
        <f>IF(A14="Erstantrag",E13,IF(Antrag!K40=0,"",Antrag!K40))</f>
        <v>40544</v>
      </c>
      <c r="H30" s="935"/>
      <c r="I30" s="936"/>
      <c r="J30" s="936"/>
    </row>
    <row r="31" spans="1:10" ht="13.5" customHeight="1" thickBot="1">
      <c r="A31" s="1117">
        <f>IF(A14&lt;&gt;"Erstantrag","        (Zeitpunkt der erstmaligen Neuregelung)","")</f>
      </c>
      <c r="B31" s="1118"/>
      <c r="C31" s="1119"/>
      <c r="D31" s="405" t="s">
        <v>220</v>
      </c>
      <c r="E31" s="406">
        <f>IF(F30="",0,VLOOKUP(F30,A151:D166,3))</f>
        <v>115.8</v>
      </c>
      <c r="F31" s="1140"/>
      <c r="H31" s="936"/>
      <c r="I31" s="936"/>
      <c r="J31" s="936"/>
    </row>
    <row r="32" spans="1:10" ht="13.5" customHeight="1">
      <c r="A32" s="1120"/>
      <c r="B32" s="1121"/>
      <c r="C32" s="1122"/>
      <c r="D32" s="679" t="s">
        <v>219</v>
      </c>
      <c r="E32" s="680">
        <f>IF(F20=0,0,IF(AND(F19="ja",F20="vollstationäre Pflege"),VLOOKUP(F30,A129:F144,5),IF(AND(F19="ja",F20="Kurzzeitpflege"),VLOOKUP(F30,A129:F144,5),IF(OR(F20="Nachtpflege",F20="Tagespflege"),VLOOKUP(F30,A129:F144,6),IF(F20="vollstationäre Pflege",1705,IF(F20="Kurzzeitpflege",1705,0))))))</f>
        <v>0</v>
      </c>
      <c r="F32" s="1140"/>
      <c r="H32" s="193"/>
      <c r="I32" s="936"/>
      <c r="J32" s="936"/>
    </row>
    <row r="33" spans="1:10" ht="13.5" customHeight="1" thickBot="1">
      <c r="A33" s="676"/>
      <c r="B33" s="677"/>
      <c r="C33" s="678"/>
      <c r="D33" s="740" t="str">
        <f>IF(E32=0,"Als Prognosewert wird folgender Kostenrahmen angenommen:  ","")</f>
        <v>Als Prognosewert wird folgender Kostenrahmen angenommen:  </v>
      </c>
      <c r="E33" s="741">
        <f>IF(E32&gt;0,"",IF(F20="vollstationäre Pflege",MAX(H129:H144),IF(F20="Kurzzeitpflege",MAX(H129:H144),IF(F20="Tagespflege",MAX(I129:I144),IF(F20="Nachtpflege",MAX(I129:I144),0)))))</f>
        <v>0</v>
      </c>
      <c r="F33" s="1140"/>
      <c r="I33" s="342"/>
      <c r="J33" s="936"/>
    </row>
    <row r="34" spans="1:12" s="342" customFormat="1" ht="13.5" customHeight="1" thickBot="1">
      <c r="A34" s="1142" t="s">
        <v>286</v>
      </c>
      <c r="B34" s="1143"/>
      <c r="C34" s="1143"/>
      <c r="D34" s="1143"/>
      <c r="E34" s="641">
        <f>IF(OR(E11&lt;E30,F30=E13,F30="",E30=0),0,IF(F42="endgültiger KN",ROUND((E11-E30)/E30,4),IF(AND(F20="vollstationäre Pflege",F37&gt;F26*VLOOKUP(F30,A129:F144,5)),ROUND((E11-E30)/E30,4),IF(AND(F20="Kurzzeitpflege",F37&gt;F26*VLOOKUP(F30,A129:F144,5)),ROUND((E11-E30)/E30,4),IF(AND(F20="Tagespflege",F37&gt;F26*VLOOKUP(F30,A129:F144,6)),ROUND((E11-E30)/E30,4),IF(AND(F20="Nachtpflege",F37&gt;F26*VLOOKUP(F30,A129:F144,6)),ROUND((E11-E30)/E30,4),0))))))</f>
        <v>0</v>
      </c>
      <c r="F34" s="1140"/>
      <c r="G34" s="245"/>
      <c r="K34" s="283"/>
      <c r="L34" s="283"/>
    </row>
    <row r="35" spans="1:12" s="889" customFormat="1" ht="13.5" customHeight="1" thickBot="1">
      <c r="A35" s="1267" t="s">
        <v>330</v>
      </c>
      <c r="B35" s="1268"/>
      <c r="C35" s="1268"/>
      <c r="D35" s="1269"/>
      <c r="E35" s="812">
        <f>IF(OR(E12&lt;E31,F30=E13,F30="",E31=0),0,ROUND((E12-E31)/E31,5))</f>
        <v>0</v>
      </c>
      <c r="F35" s="1140"/>
      <c r="G35" s="245"/>
      <c r="K35" s="247"/>
      <c r="L35" s="247"/>
    </row>
    <row r="36" spans="1:12" s="889" customFormat="1" ht="13.5" customHeight="1" thickBot="1">
      <c r="A36" s="1148" t="str">
        <f>IF(E31&gt;E12,"          keine rückläufige Indexierung","          davon 50% Indexsteigerung (§ 4 Abs. 2 GesBerVO)")</f>
        <v>          davon 50% Indexsteigerung (§ 4 Abs. 2 GesBerVO)</v>
      </c>
      <c r="B36" s="1149"/>
      <c r="C36" s="1149"/>
      <c r="D36" s="1150"/>
      <c r="E36" s="641">
        <f>ROUND(E35/2,4)</f>
        <v>0</v>
      </c>
      <c r="F36" s="1141"/>
      <c r="G36" s="245"/>
      <c r="K36" s="247"/>
      <c r="L36" s="247"/>
    </row>
    <row r="37" spans="1:6" ht="12.75">
      <c r="A37" s="1279" t="str">
        <f>IF(OR(F37&lt;&gt;0,F20=0),"8.a.) Fortschreibungsbeginn bei Eigentum:","8.a.) entfällt")</f>
        <v>8.a.) Fortschreibungsbeginn bei Eigentum:</v>
      </c>
      <c r="B37" s="1286"/>
      <c r="C37" s="1286"/>
      <c r="D37" s="1286"/>
      <c r="E37" s="1287"/>
      <c r="F37" s="1165">
        <f>Antrag!K43</f>
        <v>0</v>
      </c>
    </row>
    <row r="38" spans="1:6" ht="12.75" customHeight="1">
      <c r="A38" s="1144" t="str">
        <f>IF(A37="8.a.) entfällt","","   a.a.) anerkannte Kosten lt. Kostennachweis Gebäude und/oder Inventar:")</f>
        <v>   a.a.) anerkannte Kosten lt. Kostennachweis Gebäude und/oder Inventar:</v>
      </c>
      <c r="B38" s="1145"/>
      <c r="C38" s="1145"/>
      <c r="D38" s="1145"/>
      <c r="E38" s="1146"/>
      <c r="F38" s="1166"/>
    </row>
    <row r="39" spans="1:6" ht="12.75" customHeight="1" thickBot="1">
      <c r="A39" s="1167" t="str">
        <f>IF(A38="","","           [vgl. Anlage 4) lt. vorliegendem Kostennachweis nach der GesBerVO n.F.]")</f>
        <v>           [vgl. Anlage 4) lt. vorliegendem Kostennachweis nach der GesBerVO n.F.]</v>
      </c>
      <c r="B39" s="1168"/>
      <c r="C39" s="1168"/>
      <c r="D39" s="1168"/>
      <c r="E39" s="1169"/>
      <c r="F39" s="1166"/>
    </row>
    <row r="40" spans="1:6" ht="12" customHeight="1" thickBot="1">
      <c r="A40" s="1273" t="str">
        <f>IF(A38="","","        nachrichtlich: € je gesondert berechnungsfähigem NGF  .")</f>
        <v>        nachrichtlich: € je gesondert berechnungsfähigem NGF  .</v>
      </c>
      <c r="B40" s="1274"/>
      <c r="C40" s="1274"/>
      <c r="D40" s="1275"/>
      <c r="E40" s="890">
        <f>IF(F26=0,0,ROUND(F37/F26,2))</f>
        <v>0</v>
      </c>
      <c r="F40" s="1166"/>
    </row>
    <row r="41" spans="1:6" ht="12" customHeight="1" thickBot="1">
      <c r="A41" s="1273" t="str">
        <f>IF(A38="","","        nachrichtlich: € je gesondert berechnungsfähigem Platz  .")</f>
        <v>        nachrichtlich: € je gesondert berechnungsfähigem Platz  .</v>
      </c>
      <c r="B41" s="1274"/>
      <c r="C41" s="1274"/>
      <c r="D41" s="1275"/>
      <c r="E41" s="891">
        <f>IF(F26=0,0,ROUND(F37/F21,0))</f>
        <v>0</v>
      </c>
      <c r="F41" s="1166"/>
    </row>
    <row r="42" spans="1:6" ht="12.75" customHeight="1">
      <c r="A42" s="1256" t="str">
        <f>IF(A38="","","   a.b.) Es handelt sich um einen endgültigen / vorläufigen Kostennachweis.")</f>
        <v>   a.b.) Es handelt sich um einen endgültigen / vorläufigen Kostennachweis.</v>
      </c>
      <c r="B42" s="1285"/>
      <c r="C42" s="1285"/>
      <c r="D42" s="1285"/>
      <c r="E42" s="1285"/>
      <c r="F42" s="1153">
        <f>Antrag!K44</f>
        <v>0</v>
      </c>
    </row>
    <row r="43" spans="1:6" ht="12.75" customHeight="1" thickBot="1">
      <c r="A43" s="1283" t="str">
        <f>IF(A38="","","           (Indexierung der Kosten im Betttenwert nur, wenn endgültiger Kostennachweis.)")</f>
        <v>           (Indexierung der Kosten im Betttenwert nur, wenn endgültiger Kostennachweis.)</v>
      </c>
      <c r="B43" s="1077"/>
      <c r="C43" s="1077"/>
      <c r="D43" s="1077"/>
      <c r="E43" s="1284"/>
      <c r="F43" s="1154"/>
    </row>
    <row r="44" spans="1:6" ht="25.5" customHeight="1">
      <c r="A44" s="1232" t="str">
        <f>IF(OR(F44&lt;&gt;0,F47&lt;&gt;0,F20=0),"8.b.) Fortschreibungsbeginn bei Miete:
        Basis = anerkannte Aufwendungen bei MIETE vor ( ! ) Fortschreibung","8.b.) entfällt")</f>
        <v>8.b.) Fortschreibungsbeginn bei Miete:
        Basis = anerkannte Aufwendungen bei MIETE vor ( ! ) Fortschreibung</v>
      </c>
      <c r="B44" s="1233"/>
      <c r="C44" s="1233"/>
      <c r="D44" s="1233"/>
      <c r="E44" s="1234"/>
      <c r="F44" s="1158">
        <f>IF(A14="Erstantrag",'Anlg.5  Gebäude +Inventarmiete '!G56,Antrag!K49)</f>
        <v>0</v>
      </c>
    </row>
    <row r="45" spans="1:12" s="294" customFormat="1" ht="12.75" customHeight="1">
      <c r="A45" s="1217" t="str">
        <f>IF(OR(F44&lt;&gt;0,F20=0),"   b.a.) Anfangs anerkannte Gesamtmiete (Gebäude + ggfls. Inventarmiete)",IF(F47&lt;&gt;0,"   b.a.) entfällt",""))</f>
        <v>   b.a.) Anfangs anerkannte Gesamtmiete (Gebäude + ggfls. Inventarmiete)</v>
      </c>
      <c r="B45" s="1218"/>
      <c r="C45" s="1218"/>
      <c r="D45" s="1218"/>
      <c r="E45" s="1147"/>
      <c r="F45" s="1159"/>
      <c r="G45" s="292"/>
      <c r="H45" s="292"/>
      <c r="I45" s="292"/>
      <c r="J45" s="292"/>
      <c r="K45" s="292"/>
      <c r="L45" s="292"/>
    </row>
    <row r="46" spans="1:12" s="294" customFormat="1" ht="12.75" customHeight="1">
      <c r="A46" s="1155" t="str">
        <f>IF(OR(A45="",A45="   b.a.) entfällt"),"","         [vgl. Anlage 5) Vergleichsberechnung Eigentum bei Gebäudemiete lt. GesBerVO]")</f>
        <v>         [vgl. Anlage 5) Vergleichsberechnung Eigentum bei Gebäudemiete lt. GesBerVO]</v>
      </c>
      <c r="B46" s="1156"/>
      <c r="C46" s="1156"/>
      <c r="D46" s="1156"/>
      <c r="E46" s="1157"/>
      <c r="F46" s="1160"/>
      <c r="G46" s="292"/>
      <c r="H46" s="292"/>
      <c r="I46" s="292"/>
      <c r="J46" s="292"/>
      <c r="K46" s="292"/>
      <c r="L46" s="292"/>
    </row>
    <row r="47" spans="1:6" ht="12.75" customHeight="1">
      <c r="A47" s="1144" t="str">
        <f>IF(OR(F47&lt;&gt;0,F20=0),"   b.b.) Anfangs anerkannte Inventarmiete (bei Gebäudeeigentum)",IF(F44&lt;&gt;0,"   b.b) entfällt",""))</f>
        <v>   b.b.) Anfangs anerkannte Inventarmiete (bei Gebäudeeigentum)</v>
      </c>
      <c r="B47" s="1218"/>
      <c r="C47" s="1218"/>
      <c r="D47" s="1218"/>
      <c r="E47" s="1218"/>
      <c r="F47" s="1215">
        <f>IF(A14="Erstantrag",'Anlg.6 wenn nur Inventarmiete'!G48,Antrag!K50)</f>
        <v>0</v>
      </c>
    </row>
    <row r="48" spans="1:6" ht="13.5" thickBot="1">
      <c r="A48" s="1219" t="str">
        <f>IF(OR(A47="",A47="   b.b) entfällt"),"","           [vgl. 30%-Ergebnis aus der Anlage 6. zum Erstantrag bzw. bei endgültigem KN]")</f>
        <v>           [vgl. 30%-Ergebnis aus der Anlage 6. zum Erstantrag bzw. bei endgültigem KN]</v>
      </c>
      <c r="B48" s="1220"/>
      <c r="C48" s="1220"/>
      <c r="D48" s="1220"/>
      <c r="E48" s="1221"/>
      <c r="F48" s="1216"/>
    </row>
    <row r="49" spans="1:6" ht="18" customHeight="1">
      <c r="A49" s="1270" t="str">
        <f>IF(OR(E15="x",E16="x",F20=0),"9.)   Verzinsung","9.)    entfällt")</f>
        <v>9.)   Verzinsung</v>
      </c>
      <c r="B49" s="1271"/>
      <c r="C49" s="1271"/>
      <c r="D49" s="1271"/>
      <c r="E49" s="1272"/>
      <c r="F49" s="1170">
        <f>Antrag!K54</f>
        <v>0</v>
      </c>
    </row>
    <row r="50" spans="1:6" ht="18" customHeight="1">
      <c r="A50" s="1113" t="str">
        <f>IF(A49="9.)    entfällt","","  a.) Zinsverrechnung "&amp;YEAR(F13)-4)</f>
        <v>  a.) Zinsverrechnung 2008</v>
      </c>
      <c r="B50" s="1276"/>
      <c r="C50" s="1277"/>
      <c r="D50" s="1277"/>
      <c r="E50" s="1115"/>
      <c r="F50" s="1175"/>
    </row>
    <row r="51" spans="1:6" ht="13.5" customHeight="1">
      <c r="A51" s="1246" t="str">
        <f>IF(A49="9.)    entfällt","","       a.a.)    anerkannte Verzinsung "&amp;YEAR(F13)-4)</f>
        <v>       a.a.)    anerkannte Verzinsung 2008</v>
      </c>
      <c r="B51" s="1278"/>
      <c r="C51" s="1278"/>
      <c r="D51" s="1278"/>
      <c r="E51" s="1147"/>
      <c r="F51" s="1176"/>
    </row>
    <row r="52" spans="1:6" ht="13.5" customHeight="1">
      <c r="A52" s="1113" t="str">
        <f>IF(A49="9.)    entfällt","","       a.b.)    kalkulierte  Verzinsung "&amp;YEAR(F13)-4)</f>
        <v>       a.b.)    kalkulierte  Verzinsung 2008</v>
      </c>
      <c r="B52" s="1114"/>
      <c r="C52" s="1114"/>
      <c r="D52" s="745" t="str">
        <f>IF(A49="9.)    entfällt","","(vgl.grds. Besch. "&amp;YEAR(F13)-3&amp;", Kalk."&amp;YEAR(F13)-4&amp;" = Kalk."&amp;YEAR(F13)-5&amp;")")</f>
        <v>(vgl.grds. Besch. 2009, Kalk.2008 = Kalk.2007)</v>
      </c>
      <c r="E52" s="732"/>
      <c r="F52" s="882">
        <f>Antrag!K55</f>
        <v>0</v>
      </c>
    </row>
    <row r="53" spans="1:6" ht="15.75" customHeight="1">
      <c r="A53" s="1113" t="str">
        <f>IF(A49="9.)    entfällt","","  b.) Zinsverrechnung "&amp;YEAR(F13)-3)</f>
        <v>  b.) Zinsverrechnung 2009</v>
      </c>
      <c r="B53" s="1242"/>
      <c r="C53" s="1242"/>
      <c r="D53" s="1242"/>
      <c r="E53" s="1147"/>
      <c r="F53" s="1170">
        <f>Antrag!K57</f>
        <v>0</v>
      </c>
    </row>
    <row r="54" spans="1:6" ht="12.75">
      <c r="A54" s="1246" t="str">
        <f>IF(A49="9.)    entfällt","","       a.a.)    anerkannte Verzinsung "&amp;YEAR(F13)-3)</f>
        <v>       a.a.)    anerkannte Verzinsung 2009</v>
      </c>
      <c r="B54" s="1278"/>
      <c r="C54" s="1278"/>
      <c r="D54" s="1278"/>
      <c r="E54" s="1147"/>
      <c r="F54" s="1171"/>
    </row>
    <row r="55" spans="1:6" ht="13.5" customHeight="1" thickBot="1">
      <c r="A55" s="1246" t="str">
        <f>IF(A49="9.)    entfällt","","       a.b.)    kalkulierte  Verzinsung "&amp;YEAR(F13)-3)</f>
        <v>       a.b.)    kalkulierte  Verzinsung 2009</v>
      </c>
      <c r="B55" s="1247"/>
      <c r="C55" s="1247"/>
      <c r="D55" s="745" t="str">
        <f>IF(A49="9.)    entfällt","","(vgl.grds. Bescheid "&amp;YEAR(F13)-3&amp;" = Kalk. Ansatz "&amp;YEAR(F13)-3&amp;")")</f>
        <v>(vgl.grds. Bescheid 2009 = Kalk. Ansatz 2009)</v>
      </c>
      <c r="E55" s="732"/>
      <c r="F55" s="881">
        <f>Antrag!K58</f>
        <v>0</v>
      </c>
    </row>
    <row r="56" spans="1:6" ht="12.75">
      <c r="A56" s="408"/>
      <c r="B56" s="1225" t="str">
        <f>IF(A49="9.)    entfällt","","Zinsverrechnung für "&amp;YEAR(F13)-4&amp;" und "&amp;YEAR(F13)-3&amp;" insgesamt")</f>
        <v>Zinsverrechnung für 2008 und 2009 insgesamt</v>
      </c>
      <c r="C56" s="1226"/>
      <c r="D56" s="1226"/>
      <c r="E56" s="883">
        <f>F49-F52+F53-F55</f>
        <v>0</v>
      </c>
      <c r="F56" s="1172">
        <f>Antrag!K59</f>
        <v>0</v>
      </c>
    </row>
    <row r="57" spans="1:6" ht="13.5" thickBot="1">
      <c r="A57" s="408"/>
      <c r="B57" s="1177" t="str">
        <f>IF(A49="9.)    entfällt","","  :  2  (mit Blick auf "&amp;YEAR(F13)&amp;")")</f>
        <v>  :  2  (mit Blick auf 2012)</v>
      </c>
      <c r="C57" s="1178"/>
      <c r="D57" s="1178"/>
      <c r="E57" s="884">
        <f>ROUND(E56/2,0)</f>
        <v>0</v>
      </c>
      <c r="F57" s="1173"/>
    </row>
    <row r="58" spans="1:6" ht="14.25" customHeight="1" thickBot="1">
      <c r="A58" s="1113" t="str">
        <f>IF(A49="9.)    entfällt",""," c.)  Kalkulationsansatz Verzinsung "&amp;YEAR(E13))</f>
        <v> c.)  Kalkulationsansatz Verzinsung 2011</v>
      </c>
      <c r="B58" s="1134"/>
      <c r="C58" s="1134"/>
      <c r="D58" s="1253" t="str">
        <f>IF(A49="9.)    entfällt",""," (Hochrechnung pro Jahr)")</f>
        <v> (Hochrechnung pro Jahr)</v>
      </c>
      <c r="E58" s="1115"/>
      <c r="F58" s="1173"/>
    </row>
    <row r="59" spans="1:6" ht="24.75" customHeight="1" thickBot="1" thickTop="1">
      <c r="A59" s="1250" t="str">
        <f>IF(A49="9.)    entfällt","","==&gt;   Im Verfahren "&amp;YEAR(E13)&amp;" demnach insgesamt zu 
         berücksichtigende Verzinsung: =")</f>
        <v>==&gt;   Im Verfahren 2011 demnach insgesamt zu 
         berücksichtigende Verzinsung: =</v>
      </c>
      <c r="B59" s="1251"/>
      <c r="C59" s="1251"/>
      <c r="D59" s="1252"/>
      <c r="E59" s="892">
        <f>F56+E57</f>
        <v>0</v>
      </c>
      <c r="F59" s="1174"/>
    </row>
    <row r="60" spans="1:12" s="342" customFormat="1" ht="18" customHeight="1" thickBot="1" thickTop="1">
      <c r="A60" s="750" t="s">
        <v>280</v>
      </c>
      <c r="B60" s="753"/>
      <c r="C60" s="753"/>
      <c r="D60" s="753"/>
      <c r="E60" s="763">
        <f>IF(OR(AND(F20="vollstationäre Pflege",F24&gt;0),F20=""),"(ohne Einbettzimmerzuschl. vgl.Ziff 5.b)","")</f>
      </c>
      <c r="F60" s="870">
        <f>IF(Antrag!K61&lt;0,Antrag!K61,Antrag!K61*(-1))</f>
        <v>0</v>
      </c>
      <c r="G60" s="245"/>
      <c r="H60" s="283"/>
      <c r="I60" s="283"/>
      <c r="J60" s="283"/>
      <c r="K60" s="283"/>
      <c r="L60" s="283"/>
    </row>
    <row r="61" spans="1:12" s="404" customFormat="1" ht="27" customHeight="1">
      <c r="A61" s="1188" t="str">
        <f>IF(F20="vollstationäre Pflege","11.)   entfällt","11.a) Anwesenheitstage (§ 3 Abs. 6 GesBerVO) bei
         solitären Kurzzeitpflege- sowie Tages- bzw. Nachtpflegeeinrichtungen")</f>
        <v>11.a) Anwesenheitstage (§ 3 Abs. 6 GesBerVO) bei
         solitären Kurzzeitpflege- sowie Tages- bzw. Nachtpflegeeinrichtungen</v>
      </c>
      <c r="B61" s="1189"/>
      <c r="C61" s="1189"/>
      <c r="D61" s="1189"/>
      <c r="E61" s="1190"/>
      <c r="F61" s="871">
        <f>Antrag!K63</f>
        <v>0</v>
      </c>
      <c r="G61" s="245"/>
      <c r="H61" s="397"/>
      <c r="I61" s="397"/>
      <c r="J61" s="397"/>
      <c r="K61" s="397"/>
      <c r="L61" s="397"/>
    </row>
    <row r="62" spans="1:12" s="342" customFormat="1" ht="14.25" customHeight="1" thickBot="1">
      <c r="A62" s="1205" t="str">
        <f>IF(OR(F20="Tagespflege",F20="Nachtpflege",F20=0),"     b) Öffnungstage/Woche (Tages-/Nachtpflegeeinrichtungen)",IF(F20="Kurzzeitpflege","     b) entfällt",""))</f>
        <v>     b) Öffnungstage/Woche (Tages-/Nachtpflegeeinrichtungen)</v>
      </c>
      <c r="B62" s="1248"/>
      <c r="C62" s="1248"/>
      <c r="D62" s="1249"/>
      <c r="E62" s="873">
        <f>IF(F20="vollstationäre Pflege",0,IF(F20="Kurzzeitpflege",ROUND(F61/F21/365,4),IF(F20=0,0,IF(F62=7,ROUND(F61/F21/365,4),IF(F62&gt;=5,ROUND(F61/F21/F62/50,4),"zu niedrig ===&gt;")))))</f>
        <v>0</v>
      </c>
      <c r="F62" s="872">
        <f>Antrag!K66</f>
        <v>0</v>
      </c>
      <c r="G62" s="245"/>
      <c r="H62" s="283"/>
      <c r="I62" s="283"/>
      <c r="J62" s="283"/>
      <c r="K62" s="283"/>
      <c r="L62" s="283"/>
    </row>
    <row r="63" spans="1:12" s="343" customFormat="1" ht="4.5" customHeight="1" thickTop="1">
      <c r="A63" s="1182"/>
      <c r="B63" s="1183"/>
      <c r="C63" s="1183"/>
      <c r="D63" s="1183"/>
      <c r="E63" s="1183"/>
      <c r="F63" s="1184"/>
      <c r="G63" s="245"/>
      <c r="H63" s="373"/>
      <c r="I63" s="373"/>
      <c r="J63" s="373"/>
      <c r="K63" s="373"/>
      <c r="L63" s="373"/>
    </row>
    <row r="64" spans="1:12" s="343" customFormat="1" ht="14.25" customHeight="1">
      <c r="A64" s="632" t="s">
        <v>218</v>
      </c>
      <c r="B64" s="409"/>
      <c r="C64" s="409"/>
      <c r="D64" s="410" t="s">
        <v>215</v>
      </c>
      <c r="E64" s="646">
        <f>Antrag!K1</f>
        <v>0</v>
      </c>
      <c r="F64" s="1191" t="s">
        <v>216</v>
      </c>
      <c r="G64" s="245"/>
      <c r="H64" s="373"/>
      <c r="I64" s="373"/>
      <c r="J64" s="373"/>
      <c r="K64" s="373"/>
      <c r="L64" s="373"/>
    </row>
    <row r="65" spans="1:6" ht="13.5" thickBot="1">
      <c r="A65" s="1193">
        <f>A7</f>
        <v>0</v>
      </c>
      <c r="B65" s="1194"/>
      <c r="C65" s="1194"/>
      <c r="D65" s="1194"/>
      <c r="E65" s="1195"/>
      <c r="F65" s="1192"/>
    </row>
    <row r="66" spans="1:12" s="343" customFormat="1" ht="3.75" customHeight="1" thickBot="1" thickTop="1">
      <c r="A66" s="1182"/>
      <c r="B66" s="1183"/>
      <c r="C66" s="1183"/>
      <c r="D66" s="1183"/>
      <c r="E66" s="1183"/>
      <c r="F66" s="1184"/>
      <c r="G66" s="245"/>
      <c r="H66" s="373"/>
      <c r="I66" s="373"/>
      <c r="J66" s="373"/>
      <c r="K66" s="373"/>
      <c r="L66" s="373"/>
    </row>
    <row r="67" spans="1:12" s="343" customFormat="1" ht="19.5" customHeight="1" thickBot="1" thickTop="1">
      <c r="A67" s="772" t="s">
        <v>281</v>
      </c>
      <c r="B67" s="766"/>
      <c r="C67" s="766"/>
      <c r="D67" s="767"/>
      <c r="E67" s="626">
        <f>E13</f>
        <v>40544</v>
      </c>
      <c r="F67" s="893">
        <f>F13</f>
        <v>41274</v>
      </c>
      <c r="G67" s="245"/>
      <c r="H67" s="373"/>
      <c r="I67" s="373"/>
      <c r="J67" s="373"/>
      <c r="K67" s="373"/>
      <c r="L67" s="373"/>
    </row>
    <row r="68" spans="1:12" s="343" customFormat="1" ht="21" customHeight="1">
      <c r="A68" s="1179" t="str">
        <f>IF(OR(E15="x",F20=0),"12.a.)   bei Gebäudeeigentum","12.a.) entfällt")</f>
        <v>12.a.)   bei Gebäudeeigentum</v>
      </c>
      <c r="B68" s="1180"/>
      <c r="C68" s="1180"/>
      <c r="D68" s="1180"/>
      <c r="E68" s="1181"/>
      <c r="F68" s="1137"/>
      <c r="G68" s="245"/>
      <c r="H68" s="373"/>
      <c r="I68" s="373"/>
      <c r="J68" s="373"/>
      <c r="K68" s="373"/>
      <c r="L68" s="373"/>
    </row>
    <row r="69" spans="1:12" s="412" customFormat="1" ht="14.25" customHeight="1" thickBot="1">
      <c r="A69" s="411" t="str">
        <f>IF(A68="12.a.) entfällt","","zu 6.b.)  Sonderbettenwertberechnung (Kostenrahmen § 3 Abs 2 + Abs 5 GesBerVO)")</f>
        <v>zu 6.b.)  Sonderbettenwertberechnung (Kostenrahmen § 3 Abs 2 + Abs 5 GesBerVO)</v>
      </c>
      <c r="F69" s="1137"/>
      <c r="G69" s="245"/>
      <c r="H69" s="375"/>
      <c r="I69" s="375"/>
      <c r="J69" s="375"/>
      <c r="K69" s="375"/>
      <c r="L69" s="375"/>
    </row>
    <row r="70" spans="1:12" s="412" customFormat="1" ht="14.25" customHeight="1" thickBot="1">
      <c r="A70" s="411" t="str">
        <f>IF(A68="12.a.) entfällt","","              anerkannte NGF")</f>
        <v>              anerkannte NGF</v>
      </c>
      <c r="C70" s="894">
        <f>IF(A68="12.a.) entfällt",0,IF(F44&gt;0,0,F26))</f>
        <v>0</v>
      </c>
      <c r="D70" s="895">
        <f>IF(A68="12.a.) entfällt",0,IF(E32=0,E33,E32))</f>
        <v>0</v>
      </c>
      <c r="E70" s="896">
        <f>ROUND(C70*D70,0)</f>
        <v>0</v>
      </c>
      <c r="F70" s="1137"/>
      <c r="G70" s="245"/>
      <c r="H70" s="375"/>
      <c r="I70" s="375"/>
      <c r="J70" s="375"/>
      <c r="K70" s="375"/>
      <c r="L70" s="375"/>
    </row>
    <row r="71" spans="1:12" s="412" customFormat="1" ht="14.25" customHeight="1" thickBot="1">
      <c r="A71" s="415" t="str">
        <f>IF(A68="12.a.) entfällt","","              (§ 4 Abs. 1 Ziff. 3 + 4 GesBerVO)")</f>
        <v>              (§ 4 Abs. 1 Ziff. 3 + 4 GesBerVO)</v>
      </c>
      <c r="D71" s="413" t="str">
        <f>IF(A68="12.a.) entfällt","",IF(D72=0,"ohne Fortschr.","Fortschreibung"))</f>
        <v>ohne Fortschr.</v>
      </c>
      <c r="E71" s="412" t="s">
        <v>134</v>
      </c>
      <c r="F71" s="1138"/>
      <c r="G71" s="245"/>
      <c r="H71" s="375"/>
      <c r="I71" s="375"/>
      <c r="J71" s="375"/>
      <c r="K71" s="375"/>
      <c r="L71" s="375"/>
    </row>
    <row r="72" spans="1:12" s="412" customFormat="1" ht="14.25" customHeight="1" thickBot="1">
      <c r="A72" s="411" t="str">
        <f>IF(A68="12.a.) entfällt","","              15% sonst. Kosten =")</f>
        <v>              15% sonst. Kosten =</v>
      </c>
      <c r="C72" s="897">
        <f>E70-C73</f>
        <v>0</v>
      </c>
      <c r="D72" s="898">
        <f>IF(A68="12.a.) entfällt",0,E34)</f>
        <v>0</v>
      </c>
      <c r="E72" s="414" t="str">
        <f>IF(A68="12.a.) entfällt","","x 10% AfA-Quote =")</f>
        <v>x 10% AfA-Quote =</v>
      </c>
      <c r="F72" s="899">
        <f>IF(F30="",0,ROUND(C72*(100%+D72)*10%,0))</f>
        <v>0</v>
      </c>
      <c r="G72" s="245"/>
      <c r="H72" s="375"/>
      <c r="I72" s="375"/>
      <c r="J72" s="375"/>
      <c r="K72" s="375"/>
      <c r="L72" s="375"/>
    </row>
    <row r="73" spans="1:12" s="412" customFormat="1" ht="14.25" customHeight="1" thickBot="1">
      <c r="A73" s="411" t="str">
        <f>IF(A68="12.a.) entfällt","","              85% Gebäude =")</f>
        <v>              85% Gebäude =</v>
      </c>
      <c r="C73" s="897">
        <f>ROUND(E70*0.85,0)</f>
        <v>0</v>
      </c>
      <c r="D73" s="773"/>
      <c r="E73" s="414" t="str">
        <f>IF(A68="12.a.) entfällt","",IF(F19="ja","x 4% AfA-Quote =","x 2% AfA-Quote ="))</f>
        <v>x 2% AfA-Quote =</v>
      </c>
      <c r="F73" s="899">
        <f>ROUND(IF(F19="ja",C73*4%,C73*2%),0)</f>
        <v>0</v>
      </c>
      <c r="G73" s="245"/>
      <c r="H73" s="941"/>
      <c r="I73" s="375"/>
      <c r="J73" s="375"/>
      <c r="K73" s="375"/>
      <c r="L73" s="375"/>
    </row>
    <row r="74" spans="1:12" s="412" customFormat="1" ht="14.25" customHeight="1" thickBot="1">
      <c r="A74" s="411" t="str">
        <f>IF(A68="12.a.) entfällt","","              Instandhaltung =")</f>
        <v>              Instandhaltung =</v>
      </c>
      <c r="C74" s="900">
        <f>E70</f>
        <v>0</v>
      </c>
      <c r="D74" s="898">
        <f>D72</f>
        <v>0</v>
      </c>
      <c r="E74" s="414" t="str">
        <f>IF(A68="12.a.) entfällt","","x 1% Inst.-Quote =")</f>
        <v>x 1% Inst.-Quote =</v>
      </c>
      <c r="F74" s="901">
        <f>IF(F30="",0,ROUND(C74*(100%+D74)*1%,0))</f>
        <v>0</v>
      </c>
      <c r="G74" s="245"/>
      <c r="H74" s="375"/>
      <c r="I74" s="375"/>
      <c r="J74" s="375"/>
      <c r="K74" s="375"/>
      <c r="L74" s="375"/>
    </row>
    <row r="75" spans="1:12" s="412" customFormat="1" ht="14.25" customHeight="1">
      <c r="A75" s="415" t="str">
        <f>IF(A68="12.a.) entfällt","","              (nachrichtlich:  aktueller Sonderbettenwert je Platz =")</f>
        <v>              (nachrichtlich:  aktueller Sonderbettenwert je Platz =</v>
      </c>
      <c r="E75" s="902">
        <f>IF(F74=0,0,ROUND(SUM(F72:F74)/F21,0))</f>
        <v>0</v>
      </c>
      <c r="F75" s="1163"/>
      <c r="G75" s="245"/>
      <c r="H75" s="375"/>
      <c r="I75" s="375"/>
      <c r="J75" s="375"/>
      <c r="K75" s="375"/>
      <c r="L75" s="375"/>
    </row>
    <row r="76" spans="1:12" s="412" customFormat="1" ht="14.25" customHeight="1">
      <c r="A76" s="411" t="str">
        <f>IF(Antrag!B23="entfällt","","Zu 2.c)   AfA-Zuschlag für zinsgünstige Darlehen (§ 4 Abs. 1 Satz 7 GesBerVO):")</f>
        <v>Zu 2.c)   AfA-Zuschlag für zinsgünstige Darlehen (§ 4 Abs. 1 Satz 7 GesBerVO):</v>
      </c>
      <c r="F76" s="1164"/>
      <c r="G76" s="245"/>
      <c r="H76" s="941"/>
      <c r="I76" s="375"/>
      <c r="J76" s="375"/>
      <c r="K76" s="375"/>
      <c r="L76" s="375"/>
    </row>
    <row r="77" spans="1:12" s="412" customFormat="1" ht="14.25" customHeight="1">
      <c r="A77" s="411" t="str">
        <f>IF(A76="","","              Nennbetrag Darl. =")</f>
        <v>              Nennbetrag Darl. =</v>
      </c>
      <c r="C77" s="900">
        <f>Antrag!K24</f>
        <v>0</v>
      </c>
      <c r="E77" s="907" t="str">
        <f>IF(A76="","","x 2% AfA-Zuschlag = ")</f>
        <v>x 2% AfA-Zuschlag = </v>
      </c>
      <c r="F77" s="901">
        <f>ROUND(C77*2%,0)</f>
        <v>0</v>
      </c>
      <c r="G77" s="245"/>
      <c r="H77" s="941"/>
      <c r="I77" s="375"/>
      <c r="J77" s="375"/>
      <c r="K77" s="375"/>
      <c r="L77" s="375"/>
    </row>
    <row r="78" spans="1:12" s="752" customFormat="1" ht="3.75" customHeight="1">
      <c r="A78" s="1167"/>
      <c r="B78" s="1185"/>
      <c r="C78" s="1185"/>
      <c r="D78" s="1185"/>
      <c r="E78" s="1166"/>
      <c r="F78" s="939"/>
      <c r="G78" s="245"/>
      <c r="H78" s="378"/>
      <c r="I78" s="378"/>
      <c r="J78" s="378"/>
      <c r="K78" s="378"/>
      <c r="L78" s="378"/>
    </row>
    <row r="79" spans="1:12" s="412" customFormat="1" ht="14.25" customHeight="1">
      <c r="A79" s="1186" t="str">
        <f>IF(OR(F20=0,AND(E15="x",F16="x")),"zu 7.b) Inventar: 30% Basismiete lt. Erstantrag + Index o. 30% der aktuellen Miete","")</f>
        <v>zu 7.b) Inventar: 30% Basismiete lt. Erstantrag + Index o. 30% der aktuellen Miete</v>
      </c>
      <c r="B79" s="1185"/>
      <c r="C79" s="1185"/>
      <c r="D79" s="1185"/>
      <c r="E79" s="1166"/>
      <c r="F79" s="939"/>
      <c r="G79" s="245"/>
      <c r="H79" s="375"/>
      <c r="I79" s="375"/>
      <c r="J79" s="375"/>
      <c r="K79" s="375"/>
      <c r="L79" s="375"/>
    </row>
    <row r="80" spans="1:12" s="412" customFormat="1" ht="14.25" customHeight="1" thickBot="1">
      <c r="A80" s="1187" t="str">
        <f>IF(A79="","","                   (Es gilt der jeweils niedrigere Betrag.)")</f>
        <v>                   (Es gilt der jeweils niedrigere Betrag.)</v>
      </c>
      <c r="B80" s="1185"/>
      <c r="C80" s="1185"/>
      <c r="D80" s="1185"/>
      <c r="E80" s="1166"/>
      <c r="F80" s="939"/>
      <c r="G80" s="245"/>
      <c r="H80" s="375"/>
      <c r="I80" s="375"/>
      <c r="J80" s="375"/>
      <c r="K80" s="375"/>
      <c r="L80" s="375"/>
    </row>
    <row r="81" spans="1:12" s="412" customFormat="1" ht="14.25" customHeight="1" thickBot="1">
      <c r="A81" s="1238" t="str">
        <f>IF(A79="","","30%-Basis-Inventarmiete = ")</f>
        <v>30%-Basis-Inventarmiete = </v>
      </c>
      <c r="B81" s="1255"/>
      <c r="C81" s="897">
        <f>IF(F44&gt;0,0,F47)</f>
        <v>0</v>
      </c>
      <c r="D81" s="898">
        <f>IF(A79="",0,E36)</f>
        <v>0</v>
      </c>
      <c r="E81" s="881">
        <f>IF(F30="",0,C81*(100%+D81))</f>
        <v>0</v>
      </c>
      <c r="F81" s="940"/>
      <c r="G81" s="245"/>
      <c r="H81" s="375"/>
      <c r="I81" s="375"/>
      <c r="J81" s="375"/>
      <c r="K81" s="375"/>
      <c r="L81" s="375"/>
    </row>
    <row r="82" spans="1:12" s="752" customFormat="1" ht="14.25" customHeight="1" thickBot="1">
      <c r="A82" s="1238" t="str">
        <f>IF(A79="","","aktuelle  Inventarmiete = ")</f>
        <v>aktuelle  Inventarmiete = </v>
      </c>
      <c r="B82" s="1239"/>
      <c r="C82" s="903">
        <f>IF(F27&gt;0,0,F29)</f>
        <v>0</v>
      </c>
      <c r="D82" s="898" t="str">
        <f>IF(A79="",0,"davon 30%")</f>
        <v>davon 30%</v>
      </c>
      <c r="E82" s="896">
        <f>ROUND(C82*0.3,0)</f>
        <v>0</v>
      </c>
      <c r="F82" s="881">
        <f>IF(F30="",0,MIN(E82,E81))</f>
        <v>0</v>
      </c>
      <c r="G82" s="245"/>
      <c r="H82" s="378"/>
      <c r="I82" s="378"/>
      <c r="J82" s="378"/>
      <c r="K82" s="378"/>
      <c r="L82" s="378"/>
    </row>
    <row r="83" spans="1:12" s="412" customFormat="1" ht="4.5" customHeight="1" thickBot="1">
      <c r="A83" s="1258"/>
      <c r="B83" s="1259"/>
      <c r="C83" s="1259"/>
      <c r="D83" s="1259"/>
      <c r="E83" s="1260"/>
      <c r="F83" s="416"/>
      <c r="G83" s="245"/>
      <c r="H83" s="375"/>
      <c r="I83" s="375"/>
      <c r="J83" s="375"/>
      <c r="K83" s="375"/>
      <c r="L83" s="375"/>
    </row>
    <row r="84" spans="1:12" s="343" customFormat="1" ht="17.25" customHeight="1">
      <c r="A84" s="1179" t="str">
        <f>IF(OR(F20=0,F15="x"),"12.b.)  bei Gebäudemiete","12.b.) entfällt")</f>
        <v>12.b.)  bei Gebäudemiete</v>
      </c>
      <c r="B84" s="1180"/>
      <c r="C84" s="1180"/>
      <c r="D84" s="1180"/>
      <c r="E84" s="1181"/>
      <c r="F84" s="1196"/>
      <c r="G84" s="245"/>
      <c r="H84" s="373"/>
      <c r="I84" s="373"/>
      <c r="J84" s="373"/>
      <c r="K84" s="373"/>
      <c r="L84" s="373"/>
    </row>
    <row r="85" spans="1:12" s="412" customFormat="1" ht="14.25" customHeight="1">
      <c r="A85" s="411" t="str">
        <f>IF(OR(F20=0,AND(F15="x",E15="x"),AND(F15="x",E16="x")),"zu 7.a.)  Teilbettenwertberechnung für anerkannte Kosten =","")</f>
        <v>zu 7.a.)  Teilbettenwertberechnung für anerkannte Kosten =</v>
      </c>
      <c r="E85" s="882">
        <f>IF(C70=0,F37,0)</f>
        <v>0</v>
      </c>
      <c r="F85" s="1197"/>
      <c r="G85" s="245"/>
      <c r="H85" s="375"/>
      <c r="I85" s="375"/>
      <c r="J85" s="375"/>
      <c r="K85" s="375"/>
      <c r="L85" s="375"/>
    </row>
    <row r="86" spans="1:12" s="412" customFormat="1" ht="24" customHeight="1" thickBot="1">
      <c r="A86" s="1161" t="str">
        <f>IF(A85="","","                   (Für bis zu 15% des Kostenrahmens lt. § 3 Abs. 2 und Abs. 5 GesBerVO 
                   = 10% AfA 'sonstige Anlagegüter'.)")</f>
        <v>                   (Für bis zu 15% des Kostenrahmens lt. § 3 Abs. 2 und Abs. 5 GesBerVO 
                   = 10% AfA ''sonstige Anlagegüter''.)</v>
      </c>
      <c r="B86" s="1162"/>
      <c r="C86" s="1162"/>
      <c r="D86" s="1162"/>
      <c r="E86" s="1162"/>
      <c r="F86" s="1197"/>
      <c r="G86" s="245"/>
      <c r="H86" s="375"/>
      <c r="I86" s="375"/>
      <c r="J86" s="375"/>
      <c r="K86" s="375"/>
      <c r="L86" s="375"/>
    </row>
    <row r="87" spans="1:12" s="412" customFormat="1" ht="14.25" customHeight="1" thickBot="1">
      <c r="A87" s="415" t="str">
        <f>IF(A85="","","               Kostenrahmen =")</f>
        <v>               Kostenrahmen =</v>
      </c>
      <c r="C87" s="894">
        <f>IF(A85="",0,IF(C70=0,F26,0))</f>
        <v>0</v>
      </c>
      <c r="D87" s="895">
        <f>IF(A85="",0,IF(E32=0,E33,E32))</f>
        <v>0</v>
      </c>
      <c r="E87" s="896">
        <f>ROUND(C87*D87,0)</f>
        <v>0</v>
      </c>
      <c r="F87" s="1197"/>
      <c r="G87" s="245"/>
      <c r="H87" s="375"/>
      <c r="I87" s="375"/>
      <c r="J87" s="375"/>
      <c r="K87" s="375"/>
      <c r="L87" s="375"/>
    </row>
    <row r="88" spans="1:12" s="752" customFormat="1" ht="14.25" customHeight="1" thickBot="1">
      <c r="A88" s="1167"/>
      <c r="B88" s="1185"/>
      <c r="C88" s="343"/>
      <c r="D88" s="656" t="str">
        <f>IF(A85="","","15% des Kostenrahmens =   ")</f>
        <v>15% des Kostenrahmens =   </v>
      </c>
      <c r="E88" s="896">
        <f>ROUND(E87*0.15,0)</f>
        <v>0</v>
      </c>
      <c r="F88" s="1198"/>
      <c r="G88" s="245"/>
      <c r="H88" s="378"/>
      <c r="I88" s="378"/>
      <c r="J88" s="378"/>
      <c r="K88" s="378"/>
      <c r="L88" s="378"/>
    </row>
    <row r="89" spans="1:12" s="412" customFormat="1" ht="14.25" customHeight="1" thickBot="1">
      <c r="A89" s="411" t="str">
        <f>IF(A85="","","               für bis zu 15% =")</f>
        <v>               für bis zu 15% =</v>
      </c>
      <c r="C89" s="897">
        <f>IF(E85&lt;E88,E85,E88)</f>
        <v>0</v>
      </c>
      <c r="D89" s="898">
        <f>IF(A85="",0,E34)</f>
        <v>0</v>
      </c>
      <c r="E89" s="414" t="str">
        <f>IF(A85="","","x 10% AfA-Quote =")</f>
        <v>x 10% AfA-Quote =</v>
      </c>
      <c r="F89" s="899">
        <f>IF(F30="",0,ROUND(C89*(100%+D89)*10%,0))</f>
        <v>0</v>
      </c>
      <c r="G89" s="245"/>
      <c r="H89" s="375"/>
      <c r="I89" s="375"/>
      <c r="J89" s="375"/>
      <c r="K89" s="375"/>
      <c r="L89" s="375"/>
    </row>
    <row r="90" spans="1:12" s="412" customFormat="1" ht="14.25" customHeight="1" thickBot="1">
      <c r="A90" s="411" t="str">
        <f>IF(A85="","","               Rest demnach =")</f>
        <v>               Rest demnach =</v>
      </c>
      <c r="C90" s="950">
        <f>IF(E85&gt;E88,E85-E88,0)</f>
        <v>0</v>
      </c>
      <c r="E90" s="414" t="str">
        <f>IF(A85="","",IF(F19="ja","x 4% AfA-Quote =","x 2% AfA-Quote ="))</f>
        <v>x 2% AfA-Quote =</v>
      </c>
      <c r="F90" s="899">
        <f>ROUND(IF(F19="ja",C90*4%,C90*2%),0)</f>
        <v>0</v>
      </c>
      <c r="G90" s="245"/>
      <c r="H90" s="951"/>
      <c r="I90" s="375"/>
      <c r="J90" s="375"/>
      <c r="K90" s="375"/>
      <c r="L90" s="375"/>
    </row>
    <row r="91" spans="1:12" s="412" customFormat="1" ht="14.25" customHeight="1" thickBot="1">
      <c r="A91" s="411" t="str">
        <f>IF(A85="","","               Instandhaltung =")</f>
        <v>               Instandhaltung =</v>
      </c>
      <c r="C91" s="900">
        <f>E85</f>
        <v>0</v>
      </c>
      <c r="D91" s="898">
        <f>IF(A85="",0,E34)</f>
        <v>0</v>
      </c>
      <c r="E91" s="414" t="str">
        <f>IF(A85="","","x 1% Inst.-Quote =")</f>
        <v>x 1% Inst.-Quote =</v>
      </c>
      <c r="F91" s="899">
        <f>IF(F30="",0,ROUND(C91*(100%+D91)*1%,0))</f>
        <v>0</v>
      </c>
      <c r="G91" s="245"/>
      <c r="H91" s="375"/>
      <c r="I91" s="375"/>
      <c r="J91" s="375"/>
      <c r="K91" s="375"/>
      <c r="L91" s="375"/>
    </row>
    <row r="92" spans="1:12" s="412" customFormat="1" ht="14.25" customHeight="1">
      <c r="A92" s="415" t="str">
        <f>IF(A85="","","              (nachrichtlich:  aktueller Teilbettenwert je Platz =")</f>
        <v>              (nachrichtlich:  aktueller Teilbettenwert je Platz =</v>
      </c>
      <c r="E92" s="902">
        <f>IF(F91=0,0,ROUND(SUM(F89:F91)/F21,0))</f>
        <v>0</v>
      </c>
      <c r="F92" s="1163"/>
      <c r="G92" s="245"/>
      <c r="H92" s="375"/>
      <c r="I92" s="375"/>
      <c r="J92" s="375"/>
      <c r="K92" s="375"/>
      <c r="L92" s="375"/>
    </row>
    <row r="93" spans="1:12" s="752" customFormat="1" ht="3" customHeight="1">
      <c r="A93" s="1167"/>
      <c r="B93" s="1185"/>
      <c r="C93" s="1185"/>
      <c r="D93" s="1185"/>
      <c r="E93" s="1166"/>
      <c r="F93" s="1240"/>
      <c r="G93" s="245"/>
      <c r="H93" s="378"/>
      <c r="I93" s="378"/>
      <c r="J93" s="378"/>
      <c r="K93" s="378"/>
      <c r="L93" s="378"/>
    </row>
    <row r="94" spans="1:12" s="412" customFormat="1" ht="14.25" customHeight="1">
      <c r="A94" s="1186" t="str">
        <f>IF(OR(F20=0,F15="x"),"zu 7.a) und 8.b.a)    Aktuell anerkannte Gesamtmiete:","")</f>
        <v>zu 7.a) und 8.b.a)    Aktuell anerkannte Gesamtmiete:</v>
      </c>
      <c r="B94" s="1185"/>
      <c r="C94" s="1185"/>
      <c r="D94" s="1185"/>
      <c r="E94" s="1166"/>
      <c r="F94" s="1240"/>
      <c r="G94" s="245"/>
      <c r="H94" s="375"/>
      <c r="I94" s="375"/>
      <c r="J94" s="375"/>
      <c r="K94" s="375"/>
      <c r="L94" s="375"/>
    </row>
    <row r="95" spans="1:12" s="412" customFormat="1" ht="14.25" customHeight="1" thickBot="1">
      <c r="A95" s="1187" t="str">
        <f>IF(A94="","","                                       (Es gilt der jeweils niedrigere Betrag.)")</f>
        <v>                                       (Es gilt der jeweils niedrigere Betrag.)</v>
      </c>
      <c r="B95" s="1185"/>
      <c r="C95" s="1185"/>
      <c r="D95" s="1185"/>
      <c r="E95" s="1166"/>
      <c r="F95" s="1240"/>
      <c r="G95" s="245"/>
      <c r="H95" s="375"/>
      <c r="I95" s="375"/>
      <c r="J95" s="375"/>
      <c r="K95" s="375"/>
      <c r="L95" s="375"/>
    </row>
    <row r="96" spans="1:12" s="412" customFormat="1" ht="26.25" customHeight="1" thickBot="1">
      <c r="A96" s="1256" t="str">
        <f>IF(A94="","","Basiswert anerkannte Gesamtmieten lt. Anlg. 5 = ")</f>
        <v>Basiswert anerkannte Gesamtmieten lt. Anlg. 5 = </v>
      </c>
      <c r="B96" s="1257"/>
      <c r="C96" s="904">
        <f>IF(A14="Erstantrag",'Anlg.5  Gebäude +Inventarmiete '!G56,F44)</f>
        <v>0</v>
      </c>
      <c r="D96" s="905">
        <f>IF(A94="",0,ROUND(E35/2,4))</f>
        <v>0</v>
      </c>
      <c r="E96" s="906">
        <f>IF(F30="",0,C96*(100%+D96))</f>
        <v>0</v>
      </c>
      <c r="F96" s="1241"/>
      <c r="G96" s="245"/>
      <c r="H96" s="375"/>
      <c r="I96" s="375"/>
      <c r="J96" s="375"/>
      <c r="K96" s="375"/>
      <c r="L96" s="375"/>
    </row>
    <row r="97" spans="1:12" s="752" customFormat="1" ht="14.25" customHeight="1">
      <c r="A97" s="411"/>
      <c r="B97" s="412"/>
      <c r="C97" s="907" t="str">
        <f>IF(A94="","","aktuelle, tatsächlicheGesamtmiete ab")</f>
        <v>aktuelle, tatsächlicheGesamtmiete ab</v>
      </c>
      <c r="D97" s="814">
        <f>IF(A94="","",E13)</f>
        <v>40544</v>
      </c>
      <c r="E97" s="896">
        <f>IF(F47&gt;0,0,F27+F29)</f>
        <v>0</v>
      </c>
      <c r="F97" s="899">
        <f>IF(F30="",0,MIN(E97,E96))</f>
        <v>0</v>
      </c>
      <c r="G97" s="245"/>
      <c r="H97" s="378"/>
      <c r="I97" s="378"/>
      <c r="J97" s="378"/>
      <c r="K97" s="378"/>
      <c r="L97" s="378"/>
    </row>
    <row r="98" spans="1:12" s="412" customFormat="1" ht="3.75" customHeight="1" thickBot="1">
      <c r="A98" s="1205"/>
      <c r="B98" s="1206"/>
      <c r="C98" s="1206"/>
      <c r="D98" s="1206"/>
      <c r="E98" s="1207"/>
      <c r="F98" s="417"/>
      <c r="G98" s="245"/>
      <c r="H98" s="375"/>
      <c r="I98" s="375"/>
      <c r="J98" s="375"/>
      <c r="K98" s="375"/>
      <c r="L98" s="375"/>
    </row>
    <row r="99" spans="1:12" s="412" customFormat="1" ht="14.25" customHeight="1" thickTop="1">
      <c r="A99" s="1203" t="str">
        <f>IF(OR(F20=0,E15="x",E16="x"),"zu 9.)      Zinsen","")</f>
        <v>zu 9.)      Zinsen</v>
      </c>
      <c r="B99" s="1204"/>
      <c r="C99" s="1204"/>
      <c r="D99" s="1204"/>
      <c r="E99" s="1204"/>
      <c r="F99" s="908">
        <f>E59</f>
        <v>0</v>
      </c>
      <c r="G99" s="245"/>
      <c r="H99" s="375"/>
      <c r="I99" s="375"/>
      <c r="J99" s="375"/>
      <c r="K99" s="375"/>
      <c r="L99" s="375"/>
    </row>
    <row r="100" spans="1:7" s="399" customFormat="1" ht="12.75" customHeight="1">
      <c r="A100" s="1243"/>
      <c r="B100" s="1244"/>
      <c r="C100" s="1244"/>
      <c r="D100" s="1244"/>
      <c r="E100" s="1245"/>
      <c r="F100" s="398"/>
      <c r="G100" s="245"/>
    </row>
    <row r="101" spans="1:12" s="412" customFormat="1" ht="14.25" customHeight="1" thickBot="1">
      <c r="A101" s="774" t="s">
        <v>221</v>
      </c>
      <c r="B101" s="733"/>
      <c r="C101" s="733"/>
      <c r="D101" s="1230">
        <f>E60</f>
      </c>
      <c r="E101" s="1231"/>
      <c r="F101" s="881">
        <f>IF(F60&lt;=0,F60,F60*(-1))</f>
        <v>0</v>
      </c>
      <c r="G101" s="245"/>
      <c r="H101" s="375"/>
      <c r="I101" s="375"/>
      <c r="J101" s="375"/>
      <c r="K101" s="375"/>
      <c r="L101" s="375"/>
    </row>
    <row r="102" spans="1:12" s="752" customFormat="1" ht="18.75" customHeight="1" thickBot="1">
      <c r="A102" s="756" t="s">
        <v>223</v>
      </c>
      <c r="B102" s="779"/>
      <c r="C102" s="780"/>
      <c r="D102" s="400"/>
      <c r="E102" s="778" t="str">
        <f>": 2 mit Blick auf "&amp;YEAR(F13)</f>
        <v>: 2 mit Blick auf 2012</v>
      </c>
      <c r="F102" s="909">
        <f>ROUND(D102/2,0)</f>
        <v>0</v>
      </c>
      <c r="G102" s="245"/>
      <c r="H102" s="378"/>
      <c r="I102" s="378"/>
      <c r="J102" s="378"/>
      <c r="K102" s="378"/>
      <c r="L102" s="378"/>
    </row>
    <row r="103" spans="1:12" s="910" customFormat="1" ht="15.75" customHeight="1" thickBot="1" thickTop="1">
      <c r="A103" s="1235" t="s">
        <v>222</v>
      </c>
      <c r="B103" s="1236"/>
      <c r="C103" s="1236"/>
      <c r="D103" s="1236"/>
      <c r="E103" s="1237"/>
      <c r="F103" s="418">
        <f>SUM(F72:F102)</f>
        <v>0</v>
      </c>
      <c r="G103" s="245"/>
      <c r="H103" s="401"/>
      <c r="I103" s="401"/>
      <c r="J103" s="401"/>
      <c r="K103" s="401"/>
      <c r="L103" s="401"/>
    </row>
    <row r="104" spans="1:6" ht="25.5" customHeight="1" thickBot="1" thickTop="1">
      <c r="A104" s="1227" t="str">
        <f>IF(OR(F20=0,AND(F23&lt;&gt;F21,F24&gt;0)),"abzüglich Erlöse Einbettzimmer 
365 Tage * "&amp;F23&amp;" Einbettzimmer * "&amp;F24&amp;" €/Tag * 95 % =  minus","")</f>
        <v>abzüglich Erlöse Einbettzimmer 
365 Tage * 0 Einbettzimmer * 0 €/Tag * 95 % =  minus</v>
      </c>
      <c r="B104" s="1228"/>
      <c r="C104" s="1228"/>
      <c r="D104" s="1228"/>
      <c r="E104" s="1229"/>
      <c r="F104" s="911">
        <f>IF(AND(F23&lt;&gt;0,F21&lt;&gt;F23),ROUND(365*F23*F24*0.95,0)*(-1),0)</f>
        <v>0</v>
      </c>
    </row>
    <row r="105" spans="1:12" s="910" customFormat="1" ht="15" customHeight="1" thickBot="1" thickTop="1">
      <c r="A105" s="1235" t="s">
        <v>53</v>
      </c>
      <c r="B105" s="1236"/>
      <c r="C105" s="1236"/>
      <c r="D105" s="1236"/>
      <c r="E105" s="1237"/>
      <c r="F105" s="418">
        <f>F103+F104</f>
        <v>0</v>
      </c>
      <c r="G105" s="245"/>
      <c r="H105" s="401"/>
      <c r="I105" s="401"/>
      <c r="J105" s="401"/>
      <c r="K105" s="401"/>
      <c r="L105" s="401"/>
    </row>
    <row r="106" spans="1:12" s="910" customFormat="1" ht="6.75" customHeight="1" thickBot="1" thickTop="1">
      <c r="A106" s="1208"/>
      <c r="B106" s="1185"/>
      <c r="C106" s="1185"/>
      <c r="D106" s="1185"/>
      <c r="E106" s="1185"/>
      <c r="F106" s="1185"/>
      <c r="G106" s="245"/>
      <c r="H106" s="401"/>
      <c r="I106" s="401"/>
      <c r="J106" s="401"/>
      <c r="K106" s="401"/>
      <c r="L106" s="401"/>
    </row>
    <row r="107" spans="1:12" s="910" customFormat="1" ht="14.25" customHeight="1" thickTop="1">
      <c r="A107" s="1186" t="str">
        <f>IF(OR(F20="vollstationäre Pflege",F20=0),"Divisor   vollstationäre Pflege = 95 % * Platzzahl","   -")</f>
        <v>Divisor   vollstationäre Pflege = 95 % * Platzzahl</v>
      </c>
      <c r="B107" s="1185"/>
      <c r="C107" s="1185"/>
      <c r="D107" s="1185"/>
      <c r="E107" s="1185"/>
      <c r="F107" s="912">
        <f>IF(F20="vollstationäre Pflege",ROUND(F21*365*0.95,0),0)</f>
        <v>0</v>
      </c>
      <c r="G107" s="245"/>
      <c r="H107" s="401"/>
      <c r="I107" s="401"/>
      <c r="J107" s="401"/>
      <c r="K107" s="401"/>
      <c r="L107" s="401"/>
    </row>
    <row r="108" spans="1:12" s="910" customFormat="1" ht="12.75" customHeight="1">
      <c r="A108" s="1186" t="str">
        <f>IF(OR(F20="Kurzzeitpflege",F20=0),"Divisor   solitäre Kurzzeitpflege = 80% Mindestauslastung =","   -")</f>
        <v>Divisor   solitäre Kurzzeitpflege = 80% Mindestauslastung =</v>
      </c>
      <c r="B108" s="1185"/>
      <c r="C108" s="1185"/>
      <c r="D108" s="1211"/>
      <c r="E108" s="913">
        <f>IF(F20="Kurzzeitpflege",ROUND(365*F21*0.8,0),0)</f>
        <v>0</v>
      </c>
      <c r="F108" s="1261">
        <f>IF(F20="Kurzzeitpflege",MAX(E108,E109),0)</f>
        <v>0</v>
      </c>
      <c r="G108" s="245"/>
      <c r="H108" s="401"/>
      <c r="I108" s="401"/>
      <c r="J108" s="401"/>
      <c r="K108" s="401"/>
      <c r="L108" s="401"/>
    </row>
    <row r="109" spans="1:12" s="910" customFormat="1" ht="12.75" customHeight="1">
      <c r="A109" s="1167" t="str">
        <f>IF(A108="   -","","               tatsächliche Auslastung solitäre Kurzzeitpflege =")</f>
        <v>               tatsächliche Auslastung solitäre Kurzzeitpflege =</v>
      </c>
      <c r="B109" s="1185"/>
      <c r="C109" s="1185"/>
      <c r="D109" s="1211"/>
      <c r="E109" s="913">
        <f>IF(AND(F20="Kurzzeitpflege",F61=0),F21*365,IF(F20="Kurzzeitpflege",F61,0))</f>
        <v>0</v>
      </c>
      <c r="F109" s="1223"/>
      <c r="G109" s="245"/>
      <c r="H109" s="401"/>
      <c r="I109" s="401"/>
      <c r="J109" s="401"/>
      <c r="K109" s="401"/>
      <c r="L109" s="401"/>
    </row>
    <row r="110" spans="1:12" s="910" customFormat="1" ht="12.75" customHeight="1">
      <c r="A110" s="1186" t="str">
        <f>IF(OR(F20="Tagespflege",F20="Nachtpflege",F20=0),"Divisor   Tages- oder Nachtpflege","   -")</f>
        <v>Divisor   Tages- oder Nachtpflege</v>
      </c>
      <c r="B110" s="1185"/>
      <c r="C110" s="1185"/>
      <c r="D110" s="1185"/>
      <c r="E110" s="1166"/>
      <c r="F110" s="1222">
        <f>IF(E112=0,0,IF(F20="Tagespflege",MAX(E112,E113),IF(F20="Nachtpflege",MAX(E112,E113),0)))</f>
        <v>0</v>
      </c>
      <c r="G110" s="245"/>
      <c r="H110" s="401"/>
      <c r="I110" s="401"/>
      <c r="J110" s="401"/>
      <c r="K110" s="401"/>
      <c r="L110" s="401"/>
    </row>
    <row r="111" spans="1:12" s="910" customFormat="1" ht="12.75" customHeight="1">
      <c r="A111" s="1167" t="str">
        <f>IF(A110="   -","","               Öffnungstage je Woche (mindestens 5 Tage) =")</f>
        <v>               Öffnungstage je Woche (mindestens 5 Tage) =</v>
      </c>
      <c r="B111" s="1185"/>
      <c r="C111" s="1185"/>
      <c r="D111" s="1211"/>
      <c r="E111" s="914">
        <f>IF(AND(F20="Tagespflege",F62=0),7,IF(AND(F20="Nachtpflege",F62=0),7,IF(AND(F20="Tagespflege",F62&lt;5),5,IF(AND(F20="Nachtpflege",F62&lt;5),5,IF(F20="Tagespflege",F62,IF(F20="Nachtpflege",F62,0))))))</f>
        <v>0</v>
      </c>
      <c r="F111" s="1223"/>
      <c r="G111" s="245"/>
      <c r="H111" s="401"/>
      <c r="I111" s="401"/>
      <c r="J111" s="401"/>
      <c r="K111" s="401"/>
      <c r="L111" s="401"/>
    </row>
    <row r="112" spans="1:12" s="910" customFormat="1" ht="12.75" customHeight="1">
      <c r="A112" s="1167" t="str">
        <f>IF(A110="   -","","               80% Mindestauslastung =")</f>
        <v>               80% Mindestauslastung =</v>
      </c>
      <c r="B112" s="1185"/>
      <c r="C112" s="1185"/>
      <c r="D112" s="1211"/>
      <c r="E112" s="913">
        <f>IF(E111&lt;&gt;0,IF(E111&lt;5,F21*5*50*0.8,IF(E111=7,365*F21*0.8,F21*E111*50*0.8)),0)</f>
        <v>0</v>
      </c>
      <c r="F112" s="1223"/>
      <c r="G112" s="245"/>
      <c r="H112" s="401"/>
      <c r="I112" s="401"/>
      <c r="J112" s="401"/>
      <c r="K112" s="401"/>
      <c r="L112" s="401"/>
    </row>
    <row r="113" spans="1:12" s="910" customFormat="1" ht="12.75" customHeight="1" thickBot="1">
      <c r="A113" s="1167" t="str">
        <f>IF(A110="   -","","               tatsächliche Auslastung Tages- o. Nachtpflege =")</f>
        <v>               tatsächliche Auslastung Tages- o. Nachtpflege =</v>
      </c>
      <c r="B113" s="1185"/>
      <c r="C113" s="1185"/>
      <c r="D113" s="1211"/>
      <c r="E113" s="913">
        <f>IF(AND(F20="Tagespflege",F61=0),F21*365,IF(AND(F20="Nachtpflege",F61=0),F21*365,IF(OR(F20="Nachtpflege",F20="Tagespflege"),F61,0)))</f>
        <v>0</v>
      </c>
      <c r="F113" s="1224"/>
      <c r="G113" s="245"/>
      <c r="H113" s="401"/>
      <c r="I113" s="401"/>
      <c r="J113" s="401"/>
      <c r="K113" s="401"/>
      <c r="L113" s="401"/>
    </row>
    <row r="114" spans="1:12" s="910" customFormat="1" ht="4.5" customHeight="1" thickBot="1" thickTop="1">
      <c r="A114" s="1209"/>
      <c r="B114" s="1210"/>
      <c r="C114" s="1210"/>
      <c r="D114" s="1210"/>
      <c r="E114" s="1210"/>
      <c r="F114" s="1210"/>
      <c r="G114" s="245"/>
      <c r="H114" s="401"/>
      <c r="I114" s="401"/>
      <c r="J114" s="401"/>
      <c r="K114" s="401"/>
      <c r="L114" s="401"/>
    </row>
    <row r="115" spans="1:12" s="342" customFormat="1" ht="20.25" customHeight="1" thickTop="1">
      <c r="A115" s="775"/>
      <c r="B115" s="419" t="s">
        <v>54</v>
      </c>
      <c r="C115" s="419"/>
      <c r="D115" s="419"/>
      <c r="E115" s="420" t="s">
        <v>55</v>
      </c>
      <c r="F115" s="421">
        <f>IF(F20="vollstationäre Pflege","* 30,42 monatlich","")</f>
      </c>
      <c r="G115" s="245"/>
      <c r="H115" s="283"/>
      <c r="I115" s="283"/>
      <c r="J115" s="283"/>
      <c r="K115" s="283"/>
      <c r="L115" s="283"/>
    </row>
    <row r="116" spans="1:6" ht="12.75" customHeight="1">
      <c r="A116" s="776"/>
      <c r="B116" s="422" t="str">
        <f>IF(F104&lt;0,"Mehrbettzimmer","je Pflegeplatz")</f>
        <v>je Pflegeplatz</v>
      </c>
      <c r="C116" s="422"/>
      <c r="D116" s="422"/>
      <c r="E116" s="423">
        <f>IF(SUM(F107:F113)=0,0,ROUND(F105/SUM(F107:F113),2))</f>
        <v>0</v>
      </c>
      <c r="F116" s="424">
        <f>IF(F20="vollstationäre Pflege",ROUND(E116*30.42,2),"")</f>
      </c>
    </row>
    <row r="117" spans="1:12" s="342" customFormat="1" ht="18" customHeight="1" thickBot="1">
      <c r="A117" s="777"/>
      <c r="B117" s="425">
        <f>IF(B116="Mehrbettzimmer","Einbettzimmer","")</f>
      </c>
      <c r="C117" s="425"/>
      <c r="D117" s="425"/>
      <c r="E117" s="426">
        <f>IF(F104&lt;0,E116+F24,"")</f>
      </c>
      <c r="F117" s="427">
        <f>IF(AND(F20="vollstationäre Pflege",B117="Einbettzimmer"),ROUND(E117*30.42,2),"")</f>
      </c>
      <c r="G117" s="245"/>
      <c r="H117" s="283"/>
      <c r="I117" s="283"/>
      <c r="J117" s="283"/>
      <c r="K117" s="283"/>
      <c r="L117" s="283"/>
    </row>
    <row r="118" spans="1:6" ht="6" customHeight="1" thickBot="1" thickTop="1">
      <c r="A118" s="1265"/>
      <c r="B118" s="1266"/>
      <c r="C118" s="1266"/>
      <c r="D118" s="1266"/>
      <c r="E118" s="1266"/>
      <c r="F118" s="1266"/>
    </row>
    <row r="119" spans="1:12" s="343" customFormat="1" ht="48.75" customHeight="1" thickBot="1">
      <c r="A119" s="1262" t="s">
        <v>46</v>
      </c>
      <c r="B119" s="1263"/>
      <c r="C119" s="1263"/>
      <c r="D119" s="1263"/>
      <c r="E119" s="1263"/>
      <c r="F119" s="1264"/>
      <c r="G119" s="245"/>
      <c r="H119" s="373"/>
      <c r="I119" s="373"/>
      <c r="J119" s="373"/>
      <c r="K119" s="373"/>
      <c r="L119" s="373"/>
    </row>
    <row r="120" spans="1:6" ht="4.5" customHeight="1">
      <c r="A120" s="1212"/>
      <c r="B120" s="1212"/>
      <c r="C120" s="1212"/>
      <c r="D120" s="1212"/>
      <c r="E120" s="1212"/>
      <c r="F120" s="1212"/>
    </row>
    <row r="121" spans="1:6" s="446" customFormat="1" ht="12.75">
      <c r="A121" s="683" t="s">
        <v>224</v>
      </c>
      <c r="B121" s="684"/>
      <c r="C121" s="684"/>
      <c r="D121" s="684"/>
      <c r="E121" s="684"/>
      <c r="F121" s="685"/>
    </row>
    <row r="122" spans="1:6" s="446" customFormat="1" ht="12.75">
      <c r="A122" s="686"/>
      <c r="B122" s="687"/>
      <c r="C122" s="687"/>
      <c r="D122" s="687"/>
      <c r="E122" s="687"/>
      <c r="F122" s="688"/>
    </row>
    <row r="123" spans="1:6" s="446" customFormat="1" ht="12.75">
      <c r="A123" s="689"/>
      <c r="B123" s="690"/>
      <c r="C123" s="690"/>
      <c r="D123" s="690"/>
      <c r="E123" s="690"/>
      <c r="F123" s="691"/>
    </row>
    <row r="124" spans="1:6" ht="6.75" customHeight="1">
      <c r="A124" s="428"/>
      <c r="B124" s="428"/>
      <c r="C124" s="428"/>
      <c r="D124" s="428"/>
      <c r="E124" s="428"/>
      <c r="F124" s="428"/>
    </row>
    <row r="125" spans="1:6" ht="12.75">
      <c r="A125" s="428"/>
      <c r="B125" s="428"/>
      <c r="C125" s="428"/>
      <c r="D125" s="428"/>
      <c r="E125" s="428"/>
      <c r="F125" s="428"/>
    </row>
    <row r="126" ht="13.5" thickBot="1"/>
    <row r="127" spans="5:6" ht="14.25" thickBot="1" thickTop="1">
      <c r="E127" s="1199" t="s">
        <v>212</v>
      </c>
      <c r="F127" s="1254"/>
    </row>
    <row r="128" spans="1:9" ht="24.75" customHeight="1" thickBot="1" thickTop="1">
      <c r="A128" s="317" t="s">
        <v>71</v>
      </c>
      <c r="B128" s="319" t="s">
        <v>214</v>
      </c>
      <c r="C128" s="1213" t="s">
        <v>213</v>
      </c>
      <c r="D128" s="1214"/>
      <c r="E128" s="316" t="s">
        <v>211</v>
      </c>
      <c r="F128" s="316" t="s">
        <v>201</v>
      </c>
      <c r="G128" s="919" t="s">
        <v>43</v>
      </c>
      <c r="H128" s="920" t="s">
        <v>287</v>
      </c>
      <c r="I128" s="921" t="s">
        <v>288</v>
      </c>
    </row>
    <row r="129" spans="1:9" ht="13.5" thickTop="1">
      <c r="A129" s="320">
        <v>37834</v>
      </c>
      <c r="B129" s="429">
        <f>C151</f>
        <v>103.4</v>
      </c>
      <c r="C129" s="430">
        <f>D129</f>
        <v>486.6</v>
      </c>
      <c r="D129" s="431">
        <f aca="true" t="shared" si="0" ref="D129:D144">D151</f>
        <v>486.6</v>
      </c>
      <c r="E129" s="432">
        <v>1534</v>
      </c>
      <c r="F129" s="432">
        <v>1300</v>
      </c>
      <c r="G129" s="922">
        <v>38352</v>
      </c>
      <c r="H129" s="923">
        <f aca="true" t="shared" si="1" ref="H129:H144">IF(E129&gt;0,0,E128+H128)</f>
        <v>0</v>
      </c>
      <c r="I129" s="923">
        <f aca="true" t="shared" si="2" ref="I129:I144">IF(F129&gt;0,0,F128+I128)</f>
        <v>0</v>
      </c>
    </row>
    <row r="130" spans="1:9" ht="12.75">
      <c r="A130" s="321">
        <v>37987</v>
      </c>
      <c r="B130" s="433">
        <f>B129</f>
        <v>103.4</v>
      </c>
      <c r="C130" s="433">
        <f>C129</f>
        <v>486.6</v>
      </c>
      <c r="D130" s="434">
        <f t="shared" si="0"/>
        <v>486.1</v>
      </c>
      <c r="E130" s="435">
        <f aca="true" t="shared" si="3" ref="E130:E144">ROUND($E$129+($E$129*ROUND((D130-$D$129)/$D$129,4)),0)</f>
        <v>1532</v>
      </c>
      <c r="F130" s="435">
        <f aca="true" t="shared" si="4" ref="F130:F144">ROUND($F$129+($F$129*ROUND((D130-$D$129)/$D$129,4)),0)</f>
        <v>1299</v>
      </c>
      <c r="G130" s="924">
        <v>38352</v>
      </c>
      <c r="H130" s="925">
        <f t="shared" si="1"/>
        <v>0</v>
      </c>
      <c r="I130" s="925">
        <f t="shared" si="2"/>
        <v>0</v>
      </c>
    </row>
    <row r="131" spans="1:9" ht="12.75">
      <c r="A131" s="321">
        <v>38353</v>
      </c>
      <c r="B131" s="436">
        <f>C153</f>
        <v>106.1</v>
      </c>
      <c r="C131" s="437">
        <f>D131</f>
        <v>491.9</v>
      </c>
      <c r="D131" s="434">
        <f t="shared" si="0"/>
        <v>491.9</v>
      </c>
      <c r="E131" s="435">
        <f t="shared" si="3"/>
        <v>1551</v>
      </c>
      <c r="F131" s="435">
        <f t="shared" si="4"/>
        <v>1314</v>
      </c>
      <c r="G131" s="924">
        <v>39082</v>
      </c>
      <c r="H131" s="925">
        <f t="shared" si="1"/>
        <v>0</v>
      </c>
      <c r="I131" s="925">
        <f t="shared" si="2"/>
        <v>0</v>
      </c>
    </row>
    <row r="132" spans="1:9" ht="12.75">
      <c r="A132" s="321">
        <v>38718</v>
      </c>
      <c r="B132" s="433">
        <f>B131</f>
        <v>106.1</v>
      </c>
      <c r="C132" s="433">
        <f>C131</f>
        <v>491.9</v>
      </c>
      <c r="D132" s="434">
        <f t="shared" si="0"/>
        <v>495.3</v>
      </c>
      <c r="E132" s="435">
        <f t="shared" si="3"/>
        <v>1561</v>
      </c>
      <c r="F132" s="435">
        <f t="shared" si="4"/>
        <v>1323</v>
      </c>
      <c r="G132" s="924">
        <v>39082</v>
      </c>
      <c r="H132" s="925">
        <f t="shared" si="1"/>
        <v>0</v>
      </c>
      <c r="I132" s="925">
        <f t="shared" si="2"/>
        <v>0</v>
      </c>
    </row>
    <row r="133" spans="1:9" ht="12.75">
      <c r="A133" s="321">
        <v>39083</v>
      </c>
      <c r="B133" s="436">
        <f>C155</f>
        <v>109</v>
      </c>
      <c r="C133" s="437">
        <f>D133</f>
        <v>502.6</v>
      </c>
      <c r="D133" s="434">
        <f t="shared" si="0"/>
        <v>502.6</v>
      </c>
      <c r="E133" s="435">
        <f t="shared" si="3"/>
        <v>1584</v>
      </c>
      <c r="F133" s="435">
        <f t="shared" si="4"/>
        <v>1343</v>
      </c>
      <c r="G133" s="924">
        <v>39813</v>
      </c>
      <c r="H133" s="925">
        <f t="shared" si="1"/>
        <v>0</v>
      </c>
      <c r="I133" s="925">
        <f t="shared" si="2"/>
        <v>0</v>
      </c>
    </row>
    <row r="134" spans="1:9" ht="12.75">
      <c r="A134" s="321">
        <v>39448</v>
      </c>
      <c r="B134" s="433">
        <f>B133</f>
        <v>109</v>
      </c>
      <c r="C134" s="433">
        <f>C133</f>
        <v>502.6</v>
      </c>
      <c r="D134" s="434">
        <f t="shared" si="0"/>
        <v>540.9</v>
      </c>
      <c r="E134" s="435">
        <f t="shared" si="3"/>
        <v>1705</v>
      </c>
      <c r="F134" s="435">
        <f t="shared" si="4"/>
        <v>1445</v>
      </c>
      <c r="G134" s="924">
        <v>39813</v>
      </c>
      <c r="H134" s="925">
        <f t="shared" si="1"/>
        <v>0</v>
      </c>
      <c r="I134" s="925">
        <f t="shared" si="2"/>
        <v>0</v>
      </c>
    </row>
    <row r="135" spans="1:9" ht="12.75">
      <c r="A135" s="321">
        <v>39814</v>
      </c>
      <c r="B135" s="436">
        <f>C157</f>
        <v>114.5</v>
      </c>
      <c r="C135" s="437">
        <f>D135</f>
        <v>550.3</v>
      </c>
      <c r="D135" s="434">
        <f t="shared" si="0"/>
        <v>550.3</v>
      </c>
      <c r="E135" s="435">
        <f t="shared" si="3"/>
        <v>1735</v>
      </c>
      <c r="F135" s="435">
        <f t="shared" si="4"/>
        <v>1470</v>
      </c>
      <c r="G135" s="924">
        <v>40543</v>
      </c>
      <c r="H135" s="925">
        <f t="shared" si="1"/>
        <v>0</v>
      </c>
      <c r="I135" s="925">
        <f t="shared" si="2"/>
        <v>0</v>
      </c>
    </row>
    <row r="136" spans="1:9" ht="12.75">
      <c r="A136" s="321">
        <v>40179</v>
      </c>
      <c r="B136" s="433">
        <f>B135</f>
        <v>114.5</v>
      </c>
      <c r="C136" s="433">
        <f>C135</f>
        <v>550.3</v>
      </c>
      <c r="D136" s="434">
        <f t="shared" si="0"/>
        <v>552.8</v>
      </c>
      <c r="E136" s="435">
        <f t="shared" si="3"/>
        <v>1743</v>
      </c>
      <c r="F136" s="435">
        <f t="shared" si="4"/>
        <v>1477</v>
      </c>
      <c r="G136" s="924">
        <v>40543</v>
      </c>
      <c r="H136" s="925">
        <f t="shared" si="1"/>
        <v>0</v>
      </c>
      <c r="I136" s="925">
        <f t="shared" si="2"/>
        <v>0</v>
      </c>
    </row>
    <row r="137" spans="1:9" ht="12.75">
      <c r="A137" s="321">
        <v>40544</v>
      </c>
      <c r="B137" s="436">
        <f>C159</f>
        <v>115.8</v>
      </c>
      <c r="C137" s="437">
        <f>D137</f>
        <v>561.2</v>
      </c>
      <c r="D137" s="434">
        <f t="shared" si="0"/>
        <v>561.2</v>
      </c>
      <c r="E137" s="435">
        <f t="shared" si="3"/>
        <v>1769</v>
      </c>
      <c r="F137" s="435">
        <f t="shared" si="4"/>
        <v>1499</v>
      </c>
      <c r="G137" s="924">
        <v>41274</v>
      </c>
      <c r="H137" s="925">
        <f t="shared" si="1"/>
        <v>0</v>
      </c>
      <c r="I137" s="925">
        <f t="shared" si="2"/>
        <v>0</v>
      </c>
    </row>
    <row r="138" spans="1:9" ht="12.75">
      <c r="A138" s="321">
        <v>40909</v>
      </c>
      <c r="B138" s="433">
        <f>B137</f>
        <v>115.8</v>
      </c>
      <c r="C138" s="433">
        <f>C137</f>
        <v>561.2</v>
      </c>
      <c r="D138" s="434">
        <f t="shared" si="0"/>
        <v>575.1</v>
      </c>
      <c r="E138" s="435">
        <f t="shared" si="3"/>
        <v>1813</v>
      </c>
      <c r="F138" s="435">
        <f t="shared" si="4"/>
        <v>1536</v>
      </c>
      <c r="G138" s="924">
        <v>41274</v>
      </c>
      <c r="H138" s="925">
        <f t="shared" si="1"/>
        <v>0</v>
      </c>
      <c r="I138" s="925">
        <f t="shared" si="2"/>
        <v>0</v>
      </c>
    </row>
    <row r="139" spans="1:9" ht="12.75">
      <c r="A139" s="321">
        <v>41275</v>
      </c>
      <c r="B139" s="436">
        <f>C161</f>
        <v>120.3</v>
      </c>
      <c r="C139" s="437">
        <f>D139</f>
        <v>589</v>
      </c>
      <c r="D139" s="434">
        <f t="shared" si="0"/>
        <v>589</v>
      </c>
      <c r="E139" s="435">
        <f t="shared" si="3"/>
        <v>1857</v>
      </c>
      <c r="F139" s="435">
        <f t="shared" si="4"/>
        <v>1574</v>
      </c>
      <c r="G139" s="924">
        <v>42004</v>
      </c>
      <c r="H139" s="925">
        <f t="shared" si="1"/>
        <v>0</v>
      </c>
      <c r="I139" s="925">
        <f t="shared" si="2"/>
        <v>0</v>
      </c>
    </row>
    <row r="140" spans="1:9" ht="12.75">
      <c r="A140" s="321">
        <v>41640</v>
      </c>
      <c r="B140" s="433">
        <f>B139</f>
        <v>120.3</v>
      </c>
      <c r="C140" s="433">
        <f>C139</f>
        <v>589</v>
      </c>
      <c r="D140" s="434">
        <f t="shared" si="0"/>
        <v>598.4</v>
      </c>
      <c r="E140" s="435">
        <f t="shared" si="3"/>
        <v>1887</v>
      </c>
      <c r="F140" s="435">
        <f t="shared" si="4"/>
        <v>1599</v>
      </c>
      <c r="G140" s="924">
        <v>42004</v>
      </c>
      <c r="H140" s="925">
        <f t="shared" si="1"/>
        <v>0</v>
      </c>
      <c r="I140" s="925">
        <f t="shared" si="2"/>
        <v>0</v>
      </c>
    </row>
    <row r="141" spans="1:9" ht="12.75">
      <c r="A141" s="321">
        <v>42005</v>
      </c>
      <c r="B141" s="436">
        <f>C163</f>
        <v>0</v>
      </c>
      <c r="C141" s="437">
        <f>D141</f>
        <v>0</v>
      </c>
      <c r="D141" s="434">
        <f t="shared" si="0"/>
        <v>0</v>
      </c>
      <c r="E141" s="435">
        <f t="shared" si="3"/>
        <v>0</v>
      </c>
      <c r="F141" s="435">
        <f t="shared" si="4"/>
        <v>0</v>
      </c>
      <c r="G141" s="924">
        <v>42735</v>
      </c>
      <c r="H141" s="925">
        <f t="shared" si="1"/>
        <v>1887</v>
      </c>
      <c r="I141" s="925">
        <f t="shared" si="2"/>
        <v>1599</v>
      </c>
    </row>
    <row r="142" spans="1:9" ht="12.75">
      <c r="A142" s="321">
        <v>42370</v>
      </c>
      <c r="B142" s="433">
        <f>B141</f>
        <v>0</v>
      </c>
      <c r="C142" s="433">
        <f>C141</f>
        <v>0</v>
      </c>
      <c r="D142" s="434">
        <f t="shared" si="0"/>
        <v>0</v>
      </c>
      <c r="E142" s="435">
        <f t="shared" si="3"/>
        <v>0</v>
      </c>
      <c r="F142" s="435">
        <f t="shared" si="4"/>
        <v>0</v>
      </c>
      <c r="G142" s="924">
        <v>42735</v>
      </c>
      <c r="H142" s="925">
        <f t="shared" si="1"/>
        <v>1887</v>
      </c>
      <c r="I142" s="925">
        <f t="shared" si="2"/>
        <v>1599</v>
      </c>
    </row>
    <row r="143" spans="1:9" ht="12.75">
      <c r="A143" s="321">
        <v>42736</v>
      </c>
      <c r="B143" s="436">
        <f>C165</f>
        <v>0</v>
      </c>
      <c r="C143" s="437">
        <f>D143</f>
        <v>0</v>
      </c>
      <c r="D143" s="434">
        <f t="shared" si="0"/>
        <v>0</v>
      </c>
      <c r="E143" s="435">
        <f t="shared" si="3"/>
        <v>0</v>
      </c>
      <c r="F143" s="435">
        <f t="shared" si="4"/>
        <v>0</v>
      </c>
      <c r="G143" s="924">
        <v>43465</v>
      </c>
      <c r="H143" s="925">
        <f t="shared" si="1"/>
        <v>1887</v>
      </c>
      <c r="I143" s="925">
        <f t="shared" si="2"/>
        <v>1599</v>
      </c>
    </row>
    <row r="144" spans="1:9" ht="13.5" thickBot="1">
      <c r="A144" s="322">
        <v>43101</v>
      </c>
      <c r="B144" s="857">
        <f>B143</f>
        <v>0</v>
      </c>
      <c r="C144" s="857">
        <f>D144</f>
        <v>0</v>
      </c>
      <c r="D144" s="804">
        <f t="shared" si="0"/>
        <v>0</v>
      </c>
      <c r="E144" s="438">
        <f t="shared" si="3"/>
        <v>0</v>
      </c>
      <c r="F144" s="438">
        <f t="shared" si="4"/>
        <v>0</v>
      </c>
      <c r="G144" s="926">
        <v>43465</v>
      </c>
      <c r="H144" s="927">
        <f t="shared" si="1"/>
        <v>1887</v>
      </c>
      <c r="I144" s="928">
        <f t="shared" si="2"/>
        <v>1599</v>
      </c>
    </row>
    <row r="145" ht="13.5" thickTop="1"/>
    <row r="146" ht="13.5" thickBot="1"/>
    <row r="147" spans="1:13" s="305" customFormat="1" ht="12" customHeight="1" thickTop="1">
      <c r="A147" s="7"/>
      <c r="B147" s="1199" t="s">
        <v>204</v>
      </c>
      <c r="C147" s="1200"/>
      <c r="D147" s="701" t="s">
        <v>206</v>
      </c>
      <c r="E147" s="337"/>
      <c r="F147" s="337"/>
      <c r="G147" s="245"/>
      <c r="H147" s="245"/>
      <c r="I147" s="245"/>
      <c r="J147" s="245"/>
      <c r="K147" s="245"/>
      <c r="L147" s="245"/>
      <c r="M147" s="337"/>
    </row>
    <row r="148" spans="1:13" s="305" customFormat="1" ht="12" customHeight="1" thickBot="1">
      <c r="A148" s="10"/>
      <c r="B148" s="1201" t="s">
        <v>205</v>
      </c>
      <c r="C148" s="1202"/>
      <c r="D148" s="702" t="s">
        <v>207</v>
      </c>
      <c r="E148" s="337"/>
      <c r="F148" s="337"/>
      <c r="G148" s="245"/>
      <c r="H148" s="245"/>
      <c r="I148" s="245"/>
      <c r="J148" s="245"/>
      <c r="K148" s="245"/>
      <c r="L148" s="245"/>
      <c r="M148" s="337"/>
    </row>
    <row r="149" spans="1:13" s="915" customFormat="1" ht="12" customHeight="1" thickTop="1">
      <c r="A149" s="309" t="s">
        <v>302</v>
      </c>
      <c r="B149" s="742" t="s">
        <v>316</v>
      </c>
      <c r="C149" s="696" t="s">
        <v>304</v>
      </c>
      <c r="D149" s="703" t="s">
        <v>304</v>
      </c>
      <c r="E149" s="337"/>
      <c r="F149" s="337"/>
      <c r="G149" s="245"/>
      <c r="H149" s="245"/>
      <c r="I149" s="245"/>
      <c r="J149" s="245"/>
      <c r="K149" s="245"/>
      <c r="L149" s="245"/>
      <c r="M149" s="337"/>
    </row>
    <row r="150" spans="1:13" s="306" customFormat="1" ht="10.5" customHeight="1" thickBot="1">
      <c r="A150" s="697" t="s">
        <v>71</v>
      </c>
      <c r="B150" s="916" t="s">
        <v>315</v>
      </c>
      <c r="C150" s="700" t="s">
        <v>303</v>
      </c>
      <c r="D150" s="704" t="s">
        <v>303</v>
      </c>
      <c r="E150" s="337"/>
      <c r="F150" s="337"/>
      <c r="G150" s="245"/>
      <c r="H150" s="245"/>
      <c r="I150" s="245"/>
      <c r="J150" s="245"/>
      <c r="K150" s="245"/>
      <c r="L150" s="245"/>
      <c r="M150" s="337"/>
    </row>
    <row r="151" spans="1:13" s="306" customFormat="1" ht="11.25" customHeight="1" thickTop="1">
      <c r="A151" s="308">
        <v>37834</v>
      </c>
      <c r="B151" s="917">
        <v>37377</v>
      </c>
      <c r="C151" s="698">
        <v>103.4</v>
      </c>
      <c r="D151" s="705">
        <v>486.6</v>
      </c>
      <c r="E151" s="337"/>
      <c r="F151" s="337"/>
      <c r="G151" s="245"/>
      <c r="H151" s="245"/>
      <c r="I151" s="245"/>
      <c r="J151" s="245"/>
      <c r="K151" s="245"/>
      <c r="L151" s="245"/>
      <c r="M151" s="337"/>
    </row>
    <row r="152" spans="1:13" s="306" customFormat="1" ht="11.25" customHeight="1">
      <c r="A152" s="308">
        <v>37987</v>
      </c>
      <c r="B152" s="917">
        <v>37742</v>
      </c>
      <c r="C152" s="699">
        <v>104.1</v>
      </c>
      <c r="D152" s="706">
        <v>486.1</v>
      </c>
      <c r="E152" s="337"/>
      <c r="F152" s="337"/>
      <c r="G152" s="245"/>
      <c r="H152" s="245"/>
      <c r="I152" s="245"/>
      <c r="J152" s="245"/>
      <c r="K152" s="245"/>
      <c r="L152" s="245"/>
      <c r="M152" s="337"/>
    </row>
    <row r="153" spans="1:13" s="306" customFormat="1" ht="11.25" customHeight="1">
      <c r="A153" s="308">
        <v>38353</v>
      </c>
      <c r="B153" s="917">
        <v>38108</v>
      </c>
      <c r="C153" s="699">
        <v>106.1</v>
      </c>
      <c r="D153" s="706">
        <v>491.9</v>
      </c>
      <c r="E153" s="337"/>
      <c r="F153" s="337"/>
      <c r="H153" s="245"/>
      <c r="I153" s="958"/>
      <c r="J153" s="245"/>
      <c r="K153" s="245"/>
      <c r="L153" s="245"/>
      <c r="M153" s="337"/>
    </row>
    <row r="154" spans="1:13" s="306" customFormat="1" ht="11.25" customHeight="1">
      <c r="A154" s="308">
        <v>38718</v>
      </c>
      <c r="B154" s="917">
        <v>38473</v>
      </c>
      <c r="C154" s="699">
        <v>107.3</v>
      </c>
      <c r="D154" s="706">
        <v>495.3</v>
      </c>
      <c r="E154" s="983" t="s">
        <v>412</v>
      </c>
      <c r="F154" s="543"/>
      <c r="G154" s="450"/>
      <c r="H154" s="245"/>
      <c r="I154" s="245"/>
      <c r="J154" s="245"/>
      <c r="K154" s="245"/>
      <c r="L154" s="245"/>
      <c r="M154" s="337"/>
    </row>
    <row r="155" spans="1:7" ht="11.25" customHeight="1">
      <c r="A155" s="308">
        <v>39083</v>
      </c>
      <c r="B155" s="917">
        <v>38838</v>
      </c>
      <c r="C155" s="699">
        <v>109</v>
      </c>
      <c r="D155" s="982">
        <v>502.6</v>
      </c>
      <c r="E155" s="984" t="s">
        <v>1</v>
      </c>
      <c r="F155" s="985"/>
      <c r="G155" s="986" t="s">
        <v>0</v>
      </c>
    </row>
    <row r="156" spans="1:7" ht="11.25" customHeight="1">
      <c r="A156" s="308">
        <v>39448</v>
      </c>
      <c r="B156" s="917">
        <v>39203</v>
      </c>
      <c r="C156" s="699">
        <v>111.4</v>
      </c>
      <c r="D156" s="982">
        <v>540.9</v>
      </c>
      <c r="E156" s="984" t="s">
        <v>1</v>
      </c>
      <c r="F156" s="985"/>
      <c r="G156" s="986" t="s">
        <v>0</v>
      </c>
    </row>
    <row r="157" spans="1:9" ht="11.25" customHeight="1">
      <c r="A157" s="308">
        <v>39814</v>
      </c>
      <c r="B157" s="917">
        <v>39569</v>
      </c>
      <c r="C157" s="699">
        <v>114.5</v>
      </c>
      <c r="D157" s="706">
        <v>550.3</v>
      </c>
      <c r="E157" s="983" t="s">
        <v>2</v>
      </c>
      <c r="F157" s="543"/>
      <c r="G157" s="450"/>
      <c r="I157" s="934"/>
    </row>
    <row r="158" spans="1:5" ht="11.25" customHeight="1">
      <c r="A158" s="308">
        <v>40179</v>
      </c>
      <c r="B158" s="917">
        <v>39934</v>
      </c>
      <c r="C158" s="699">
        <v>114.6</v>
      </c>
      <c r="D158" s="706">
        <v>552.8</v>
      </c>
      <c r="E158" s="983" t="s">
        <v>424</v>
      </c>
    </row>
    <row r="159" spans="1:5" ht="11.25" customHeight="1">
      <c r="A159" s="308">
        <v>40544</v>
      </c>
      <c r="B159" s="917">
        <v>40299</v>
      </c>
      <c r="C159" s="699">
        <v>115.8</v>
      </c>
      <c r="D159" s="706">
        <v>561.2</v>
      </c>
      <c r="E159" s="543" t="s">
        <v>452</v>
      </c>
    </row>
    <row r="160" spans="1:5" ht="11.25" customHeight="1">
      <c r="A160" s="308">
        <v>40909</v>
      </c>
      <c r="B160" s="917">
        <v>40664</v>
      </c>
      <c r="C160" s="699">
        <v>118.5</v>
      </c>
      <c r="D160" s="706">
        <v>575.1</v>
      </c>
      <c r="E160" s="983" t="s">
        <v>426</v>
      </c>
    </row>
    <row r="161" spans="1:5" ht="11.25" customHeight="1">
      <c r="A161" s="308">
        <v>41275</v>
      </c>
      <c r="B161" s="917">
        <v>41030</v>
      </c>
      <c r="C161" s="1010">
        <v>120.3</v>
      </c>
      <c r="D161" s="1011">
        <v>589</v>
      </c>
      <c r="E161" s="543" t="s">
        <v>454</v>
      </c>
    </row>
    <row r="162" spans="1:4" ht="11.25" customHeight="1">
      <c r="A162" s="308">
        <v>41640</v>
      </c>
      <c r="B162" s="917">
        <v>41395</v>
      </c>
      <c r="C162" s="307"/>
      <c r="D162" s="707">
        <v>598.4</v>
      </c>
    </row>
    <row r="163" spans="1:4" ht="11.25" customHeight="1">
      <c r="A163" s="308">
        <v>42005</v>
      </c>
      <c r="B163" s="917">
        <v>41760</v>
      </c>
      <c r="C163" s="307"/>
      <c r="D163" s="707"/>
    </row>
    <row r="164" spans="1:4" ht="11.25" customHeight="1">
      <c r="A164" s="308">
        <v>42370</v>
      </c>
      <c r="B164" s="917">
        <v>42125</v>
      </c>
      <c r="C164" s="307"/>
      <c r="D164" s="707"/>
    </row>
    <row r="165" spans="1:4" ht="11.25" customHeight="1">
      <c r="A165" s="308">
        <v>42736</v>
      </c>
      <c r="B165" s="917">
        <v>42491</v>
      </c>
      <c r="C165" s="307"/>
      <c r="D165" s="707"/>
    </row>
    <row r="166" spans="1:4" ht="11.25" customHeight="1" thickBot="1">
      <c r="A166" s="854">
        <v>43101</v>
      </c>
      <c r="B166" s="918">
        <v>42856</v>
      </c>
      <c r="C166" s="855"/>
      <c r="D166" s="856"/>
    </row>
  </sheetData>
  <sheetProtection/>
  <mergeCells count="108">
    <mergeCell ref="A12:B12"/>
    <mergeCell ref="A17:E17"/>
    <mergeCell ref="A6:F6"/>
    <mergeCell ref="A8:B9"/>
    <mergeCell ref="C8:F8"/>
    <mergeCell ref="A7:E7"/>
    <mergeCell ref="F9:F10"/>
    <mergeCell ref="F11:F12"/>
    <mergeCell ref="A108:D108"/>
    <mergeCell ref="A54:E54"/>
    <mergeCell ref="A19:E19"/>
    <mergeCell ref="A14:B14"/>
    <mergeCell ref="A18:E18"/>
    <mergeCell ref="A10:B11"/>
    <mergeCell ref="A43:E43"/>
    <mergeCell ref="A41:D41"/>
    <mergeCell ref="A42:E42"/>
    <mergeCell ref="A37:E37"/>
    <mergeCell ref="A111:D111"/>
    <mergeCell ref="A119:F119"/>
    <mergeCell ref="A118:F118"/>
    <mergeCell ref="A112:D112"/>
    <mergeCell ref="A52:C52"/>
    <mergeCell ref="A35:D35"/>
    <mergeCell ref="A49:E49"/>
    <mergeCell ref="A40:D40"/>
    <mergeCell ref="A50:E50"/>
    <mergeCell ref="A51:E51"/>
    <mergeCell ref="A59:D59"/>
    <mergeCell ref="A58:C58"/>
    <mergeCell ref="D58:E58"/>
    <mergeCell ref="A78:E78"/>
    <mergeCell ref="E127:F127"/>
    <mergeCell ref="A81:B81"/>
    <mergeCell ref="A96:B96"/>
    <mergeCell ref="A83:E83"/>
    <mergeCell ref="A84:E84"/>
    <mergeCell ref="F108:F109"/>
    <mergeCell ref="A44:E44"/>
    <mergeCell ref="A113:D113"/>
    <mergeCell ref="A103:E103"/>
    <mergeCell ref="A82:B82"/>
    <mergeCell ref="F92:F96"/>
    <mergeCell ref="A105:E105"/>
    <mergeCell ref="A53:E53"/>
    <mergeCell ref="A100:E100"/>
    <mergeCell ref="A55:C55"/>
    <mergeCell ref="A62:D62"/>
    <mergeCell ref="F47:F48"/>
    <mergeCell ref="A45:E45"/>
    <mergeCell ref="A47:E47"/>
    <mergeCell ref="A48:E48"/>
    <mergeCell ref="A110:E110"/>
    <mergeCell ref="F110:F113"/>
    <mergeCell ref="B56:D56"/>
    <mergeCell ref="A104:E104"/>
    <mergeCell ref="D101:E101"/>
    <mergeCell ref="A95:E95"/>
    <mergeCell ref="B147:C147"/>
    <mergeCell ref="B148:C148"/>
    <mergeCell ref="A99:E99"/>
    <mergeCell ref="A98:E98"/>
    <mergeCell ref="A107:E107"/>
    <mergeCell ref="A106:F106"/>
    <mergeCell ref="A114:F114"/>
    <mergeCell ref="A109:D109"/>
    <mergeCell ref="A120:F120"/>
    <mergeCell ref="C128:D128"/>
    <mergeCell ref="A88:B88"/>
    <mergeCell ref="A79:E79"/>
    <mergeCell ref="A94:E94"/>
    <mergeCell ref="A93:E93"/>
    <mergeCell ref="A80:E80"/>
    <mergeCell ref="A61:E61"/>
    <mergeCell ref="A63:F63"/>
    <mergeCell ref="F64:F65"/>
    <mergeCell ref="A65:E65"/>
    <mergeCell ref="F84:F88"/>
    <mergeCell ref="A86:E86"/>
    <mergeCell ref="F75:F76"/>
    <mergeCell ref="F37:F41"/>
    <mergeCell ref="A39:E39"/>
    <mergeCell ref="F53:F54"/>
    <mergeCell ref="F56:F59"/>
    <mergeCell ref="F49:F51"/>
    <mergeCell ref="B57:D57"/>
    <mergeCell ref="A68:E68"/>
    <mergeCell ref="A66:F66"/>
    <mergeCell ref="F68:F71"/>
    <mergeCell ref="F30:F36"/>
    <mergeCell ref="A34:D34"/>
    <mergeCell ref="A38:E38"/>
    <mergeCell ref="A28:E28"/>
    <mergeCell ref="A36:D36"/>
    <mergeCell ref="F27:F28"/>
    <mergeCell ref="F42:F43"/>
    <mergeCell ref="A46:E46"/>
    <mergeCell ref="F44:F46"/>
    <mergeCell ref="A20:E20"/>
    <mergeCell ref="A22:E22"/>
    <mergeCell ref="A24:E24"/>
    <mergeCell ref="A31:C32"/>
    <mergeCell ref="A26:D26"/>
    <mergeCell ref="A25:D25"/>
    <mergeCell ref="A21:E21"/>
    <mergeCell ref="A23:E23"/>
    <mergeCell ref="A27:E27"/>
    <mergeCell ref="A29:E29"/>
  </mergeCells>
  <printOptions horizontalCentered="1"/>
  <pageMargins left="0.76" right="0.24" top="0.28" bottom="0.31" header="0.15748031496062992" footer="0.17"/>
  <pageSetup fitToHeight="0" fitToWidth="1" horizontalDpi="600" verticalDpi="600" orientation="portrait" paperSize="9" scale="96" r:id="rId1"/>
  <headerFooter alignWithMargins="0">
    <oddFooter>&amp;L&amp;8&amp;F&amp;C&amp;A</oddFooter>
  </headerFooter>
  <rowBreaks count="1" manualBreakCount="1">
    <brk id="62"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H58"/>
  <sheetViews>
    <sheetView zoomScale="85" zoomScaleNormal="85" zoomScalePageLayoutView="0" workbookViewId="0" topLeftCell="A40">
      <selection activeCell="M32" sqref="M32"/>
    </sheetView>
  </sheetViews>
  <sheetFormatPr defaultColWidth="11.421875" defaultRowHeight="20.25" customHeight="1"/>
  <cols>
    <col min="1" max="1" width="2.8515625" style="0" customWidth="1"/>
    <col min="2" max="2" width="4.8515625" style="0" customWidth="1"/>
    <col min="3" max="3" width="10.00390625" style="0" customWidth="1"/>
    <col min="5" max="5" width="53.28125" style="0" customWidth="1"/>
    <col min="6" max="6" width="5.57421875" style="0" bestFit="1" customWidth="1"/>
    <col min="7" max="7" width="24.140625" style="0" customWidth="1"/>
    <col min="8" max="8" width="4.00390625" style="0" customWidth="1"/>
  </cols>
  <sheetData>
    <row r="1" spans="2:8" ht="33">
      <c r="B1" s="442" t="s">
        <v>427</v>
      </c>
      <c r="C1" s="337"/>
      <c r="D1" s="443" t="s">
        <v>428</v>
      </c>
      <c r="E1" s="337"/>
      <c r="F1" s="345" t="s">
        <v>203</v>
      </c>
      <c r="G1" s="444">
        <f>Antrag!K1</f>
        <v>0</v>
      </c>
      <c r="H1" s="337"/>
    </row>
    <row r="2" spans="2:8" ht="32.25" customHeight="1">
      <c r="B2" s="338"/>
      <c r="C2" s="337"/>
      <c r="D2" s="337"/>
      <c r="E2" s="337"/>
      <c r="F2" s="337"/>
      <c r="G2" s="337"/>
      <c r="H2" s="445" t="s">
        <v>429</v>
      </c>
    </row>
    <row r="3" spans="2:8" ht="20.25" customHeight="1">
      <c r="B3" s="337"/>
      <c r="C3" s="337"/>
      <c r="D3" s="337"/>
      <c r="E3" s="337"/>
      <c r="F3" s="337"/>
      <c r="G3" s="337"/>
      <c r="H3" s="337"/>
    </row>
    <row r="4" spans="2:8" ht="23.25" customHeight="1">
      <c r="B4" s="1105">
        <f>Antrag!B5</f>
        <v>0</v>
      </c>
      <c r="C4" s="1106"/>
      <c r="D4" s="1106"/>
      <c r="E4" s="1106"/>
      <c r="F4" s="1106"/>
      <c r="G4" s="1106"/>
      <c r="H4" s="1106"/>
    </row>
    <row r="5" spans="2:8" s="245" customFormat="1" ht="15" customHeight="1">
      <c r="B5" s="382" t="s">
        <v>166</v>
      </c>
      <c r="C5" s="381"/>
      <c r="D5" s="337"/>
      <c r="E5" s="337"/>
      <c r="F5" s="337"/>
      <c r="G5" s="337"/>
      <c r="H5" s="337"/>
    </row>
    <row r="6" spans="2:8" ht="13.5" customHeight="1">
      <c r="B6" s="337"/>
      <c r="C6" s="337"/>
      <c r="D6" s="337"/>
      <c r="E6" s="337"/>
      <c r="F6" s="337"/>
      <c r="G6" s="337"/>
      <c r="H6" s="337"/>
    </row>
    <row r="7" spans="2:8" ht="23.25" customHeight="1">
      <c r="B7" s="1105">
        <f>Antrag!B8</f>
        <v>0</v>
      </c>
      <c r="C7" s="1106"/>
      <c r="D7" s="1106"/>
      <c r="E7" s="1106"/>
      <c r="F7" s="1106"/>
      <c r="G7" s="1106"/>
      <c r="H7" s="1106"/>
    </row>
    <row r="8" spans="2:8" ht="14.25" customHeight="1">
      <c r="B8" s="992" t="s">
        <v>189</v>
      </c>
      <c r="C8" s="993"/>
      <c r="D8" s="245"/>
      <c r="E8" s="245"/>
      <c r="F8" s="245"/>
      <c r="G8" s="245"/>
      <c r="H8" s="245"/>
    </row>
    <row r="9" spans="2:8" ht="14.25" customHeight="1">
      <c r="B9" s="992"/>
      <c r="C9" s="993"/>
      <c r="D9" s="245"/>
      <c r="E9" s="245"/>
      <c r="F9" s="245"/>
      <c r="G9" s="245"/>
      <c r="H9" s="245"/>
    </row>
    <row r="10" spans="2:8" ht="17.25">
      <c r="B10" s="1305" t="s">
        <v>430</v>
      </c>
      <c r="C10" s="1051"/>
      <c r="D10" s="1051"/>
      <c r="E10" s="1051"/>
      <c r="F10" s="245"/>
      <c r="G10" s="1009" t="s">
        <v>431</v>
      </c>
      <c r="H10" s="245"/>
    </row>
    <row r="11" spans="2:8" ht="17.25">
      <c r="B11" s="1051"/>
      <c r="C11" s="1051"/>
      <c r="D11" s="1051"/>
      <c r="E11" s="1051"/>
      <c r="F11" s="245"/>
      <c r="G11" s="1009" t="s">
        <v>432</v>
      </c>
      <c r="H11" s="245"/>
    </row>
    <row r="12" spans="2:8" ht="14.25" customHeight="1" thickBot="1">
      <c r="B12" s="992"/>
      <c r="C12" s="993"/>
      <c r="D12" s="245"/>
      <c r="E12" s="245"/>
      <c r="F12" s="245"/>
      <c r="G12" s="245"/>
      <c r="H12" s="245"/>
    </row>
    <row r="13" spans="2:8" ht="18.75" customHeight="1" thickBot="1">
      <c r="B13" s="1306" t="s">
        <v>433</v>
      </c>
      <c r="C13" s="1057"/>
      <c r="D13" s="1057"/>
      <c r="E13" s="1057"/>
      <c r="F13" s="245"/>
      <c r="G13" s="439"/>
      <c r="H13" s="245"/>
    </row>
    <row r="14" spans="2:8" ht="18" customHeight="1" thickBot="1">
      <c r="B14" s="1302" t="s">
        <v>434</v>
      </c>
      <c r="C14" s="1057"/>
      <c r="D14" s="1057"/>
      <c r="E14" s="1057"/>
      <c r="F14" s="245"/>
      <c r="G14" s="439"/>
      <c r="H14" s="827" t="s">
        <v>435</v>
      </c>
    </row>
    <row r="15" spans="2:8" ht="17.25" customHeight="1" thickBot="1">
      <c r="B15" s="994" t="s">
        <v>436</v>
      </c>
      <c r="D15" s="957" t="s">
        <v>431</v>
      </c>
      <c r="E15" s="990"/>
      <c r="F15" s="245"/>
      <c r="G15" s="439"/>
      <c r="H15" s="827" t="s">
        <v>435</v>
      </c>
    </row>
    <row r="16" spans="2:8" ht="18" customHeight="1" thickBot="1">
      <c r="B16" s="994"/>
      <c r="D16" s="957" t="s">
        <v>432</v>
      </c>
      <c r="E16" s="990"/>
      <c r="F16" s="245"/>
      <c r="G16" s="439"/>
      <c r="H16" s="827" t="s">
        <v>435</v>
      </c>
    </row>
    <row r="17" spans="2:8" ht="14.25" customHeight="1">
      <c r="B17" s="992"/>
      <c r="C17" s="993"/>
      <c r="D17" s="245"/>
      <c r="E17" s="245"/>
      <c r="F17" s="245"/>
      <c r="G17" s="245"/>
      <c r="H17" s="245"/>
    </row>
    <row r="18" spans="2:7" ht="20.25" customHeight="1">
      <c r="B18" s="995" t="s">
        <v>437</v>
      </c>
      <c r="F18" s="245"/>
      <c r="G18" s="245"/>
    </row>
    <row r="19" spans="2:7" ht="8.25" customHeight="1" thickBot="1">
      <c r="B19" s="57"/>
      <c r="F19" s="245"/>
      <c r="G19" s="245"/>
    </row>
    <row r="20" spans="2:7" ht="24" customHeight="1" thickBot="1">
      <c r="B20" s="57" t="s">
        <v>193</v>
      </c>
      <c r="C20" s="57" t="s">
        <v>196</v>
      </c>
      <c r="F20" s="439"/>
      <c r="G20" s="245"/>
    </row>
    <row r="21" spans="2:7" ht="8.25" customHeight="1" thickBot="1">
      <c r="B21" s="57"/>
      <c r="F21" s="245"/>
      <c r="G21" s="245"/>
    </row>
    <row r="22" spans="2:7" ht="24" customHeight="1" thickBot="1">
      <c r="B22" s="57" t="s">
        <v>193</v>
      </c>
      <c r="C22" s="57" t="s">
        <v>438</v>
      </c>
      <c r="F22" s="439"/>
      <c r="G22" s="245"/>
    </row>
    <row r="23" spans="6:7" ht="20.25" customHeight="1">
      <c r="F23" s="245"/>
      <c r="G23" s="245"/>
    </row>
    <row r="24" spans="2:7" ht="20.25" customHeight="1">
      <c r="B24" s="57" t="s">
        <v>190</v>
      </c>
      <c r="G24" s="1004">
        <f>Antrag!K26</f>
        <v>0</v>
      </c>
    </row>
    <row r="25" ht="10.5" customHeight="1"/>
    <row r="26" spans="2:7" ht="20.25" customHeight="1">
      <c r="B26" s="57" t="s">
        <v>191</v>
      </c>
      <c r="G26" s="1005">
        <f>IF(Antrag!K12="","",IF(Antrag!K12="Erstantrag",Antrag!H10,Antrag!K40))</f>
      </c>
    </row>
    <row r="27" ht="4.5" customHeight="1">
      <c r="B27" s="57"/>
    </row>
    <row r="28" spans="2:8" ht="24.75" customHeight="1">
      <c r="B28" s="1302" t="s">
        <v>439</v>
      </c>
      <c r="C28" s="1303"/>
      <c r="D28" s="1303"/>
      <c r="E28" s="1303"/>
      <c r="G28" s="441"/>
      <c r="H28" s="996" t="s">
        <v>440</v>
      </c>
    </row>
    <row r="29" spans="3:8" s="991" customFormat="1" ht="19.5" customHeight="1">
      <c r="C29" s="957" t="s">
        <v>441</v>
      </c>
      <c r="D29" s="845"/>
      <c r="E29" s="997"/>
      <c r="F29" s="998"/>
      <c r="G29" s="441"/>
      <c r="H29" s="999" t="s">
        <v>440</v>
      </c>
    </row>
    <row r="30" spans="1:7" s="845" customFormat="1" ht="24" customHeight="1">
      <c r="A30" s="991"/>
      <c r="G30" s="449"/>
    </row>
    <row r="31" s="845" customFormat="1" ht="3" customHeight="1"/>
    <row r="32" ht="20.25" customHeight="1">
      <c r="B32" s="242" t="s">
        <v>192</v>
      </c>
    </row>
    <row r="33" ht="11.25" customHeight="1">
      <c r="B33" s="242"/>
    </row>
    <row r="34" spans="2:7" ht="20.25" customHeight="1">
      <c r="B34" s="1000" t="s">
        <v>193</v>
      </c>
      <c r="C34" s="1304" t="s">
        <v>194</v>
      </c>
      <c r="D34" s="1014"/>
      <c r="E34" s="1014"/>
      <c r="F34" s="1014"/>
      <c r="G34" s="1014"/>
    </row>
    <row r="35" spans="2:7" ht="15.75" customHeight="1">
      <c r="B35" s="1000"/>
      <c r="C35" s="1014"/>
      <c r="D35" s="1014"/>
      <c r="E35" s="1014"/>
      <c r="F35" s="1014"/>
      <c r="G35" s="1014"/>
    </row>
    <row r="36" spans="2:7" ht="19.5" customHeight="1">
      <c r="B36" s="1000" t="s">
        <v>193</v>
      </c>
      <c r="C36" s="1304" t="s">
        <v>195</v>
      </c>
      <c r="D36" s="1014"/>
      <c r="E36" s="1014"/>
      <c r="F36" s="1014"/>
      <c r="G36" s="1014"/>
    </row>
    <row r="37" spans="2:7" ht="15" customHeight="1">
      <c r="B37" s="1000"/>
      <c r="C37" s="1014"/>
      <c r="D37" s="1014"/>
      <c r="E37" s="1014"/>
      <c r="F37" s="1014"/>
      <c r="G37" s="1014"/>
    </row>
    <row r="38" spans="2:7" ht="27.75" customHeight="1">
      <c r="B38" s="1000" t="s">
        <v>193</v>
      </c>
      <c r="C38" s="1307" t="s">
        <v>402</v>
      </c>
      <c r="D38" s="1307"/>
      <c r="E38" s="1307"/>
      <c r="F38" s="1307"/>
      <c r="G38" s="1307"/>
    </row>
    <row r="39" spans="2:7" ht="2.25" customHeight="1" hidden="1">
      <c r="B39" s="1000"/>
      <c r="C39" s="1307"/>
      <c r="D39" s="1307"/>
      <c r="E39" s="1307"/>
      <c r="F39" s="1307"/>
      <c r="G39" s="1307"/>
    </row>
    <row r="40" spans="2:7" ht="20.25" customHeight="1">
      <c r="B40" s="1000" t="s">
        <v>193</v>
      </c>
      <c r="C40" s="1304" t="s">
        <v>442</v>
      </c>
      <c r="D40" s="1014"/>
      <c r="E40" s="1014"/>
      <c r="F40" s="1014"/>
      <c r="G40" s="1014"/>
    </row>
    <row r="41" spans="2:7" ht="17.25">
      <c r="B41" s="1000"/>
      <c r="C41" s="1014"/>
      <c r="D41" s="1014"/>
      <c r="E41" s="1014"/>
      <c r="F41" s="1014"/>
      <c r="G41" s="1014"/>
    </row>
    <row r="42" spans="2:7" ht="14.25" customHeight="1">
      <c r="B42" s="1000"/>
      <c r="C42" s="835"/>
      <c r="D42" s="835"/>
      <c r="E42" s="835"/>
      <c r="F42" s="835"/>
      <c r="G42" s="835"/>
    </row>
    <row r="43" spans="2:7" ht="18" thickBot="1">
      <c r="B43" s="1308" t="s">
        <v>443</v>
      </c>
      <c r="C43" s="1309"/>
      <c r="D43" s="1309"/>
      <c r="E43" s="1309"/>
      <c r="F43" s="1309"/>
      <c r="G43" s="1309"/>
    </row>
    <row r="44" spans="2:7" ht="18" thickBot="1">
      <c r="B44" s="1000"/>
      <c r="C44" s="835"/>
      <c r="D44" s="835"/>
      <c r="E44" s="1001" t="s">
        <v>444</v>
      </c>
      <c r="F44" s="1007"/>
      <c r="G44" s="440"/>
    </row>
    <row r="45" spans="2:7" ht="18" thickBot="1">
      <c r="B45" s="1000"/>
      <c r="C45" s="835"/>
      <c r="D45" s="835"/>
      <c r="E45" s="51" t="s">
        <v>445</v>
      </c>
      <c r="F45" s="1008"/>
      <c r="G45" s="440"/>
    </row>
    <row r="46" spans="2:7" ht="12.75">
      <c r="B46" s="1312"/>
      <c r="C46" s="1313"/>
      <c r="D46" s="1313"/>
      <c r="E46" s="1313"/>
      <c r="F46" s="1313"/>
      <c r="G46" s="1313"/>
    </row>
    <row r="47" spans="2:7" ht="17.25" customHeight="1">
      <c r="B47" s="1006"/>
      <c r="C47" s="1006"/>
      <c r="D47" s="1006"/>
      <c r="E47" s="283"/>
      <c r="F47" s="283"/>
      <c r="G47" s="283"/>
    </row>
    <row r="48" spans="2:7" ht="14.25" customHeight="1">
      <c r="B48" s="1314" t="s">
        <v>256</v>
      </c>
      <c r="C48" s="1315"/>
      <c r="D48" s="1315"/>
      <c r="E48" s="831"/>
      <c r="F48" s="831"/>
      <c r="G48" s="831"/>
    </row>
    <row r="49" spans="2:7" ht="36" customHeight="1">
      <c r="B49" s="1316"/>
      <c r="C49" s="1316"/>
      <c r="D49" s="1316"/>
      <c r="E49" s="1316"/>
      <c r="F49" s="1316"/>
      <c r="G49" s="1316"/>
    </row>
    <row r="50" ht="12.75" customHeight="1">
      <c r="B50" s="1002" t="s">
        <v>197</v>
      </c>
    </row>
    <row r="51" ht="13.5" customHeight="1"/>
    <row r="52" spans="2:7" ht="27.75" customHeight="1">
      <c r="B52" s="1316"/>
      <c r="C52" s="1316"/>
      <c r="D52" s="1316"/>
      <c r="E52" s="1316"/>
      <c r="F52" s="1316"/>
      <c r="G52" s="1316"/>
    </row>
    <row r="53" ht="12.75" customHeight="1">
      <c r="B53" s="1002" t="s">
        <v>198</v>
      </c>
    </row>
    <row r="54" spans="1:4" ht="20.25" customHeight="1">
      <c r="A54" s="3"/>
      <c r="B54" s="3"/>
      <c r="C54" s="3"/>
      <c r="D54" s="3"/>
    </row>
    <row r="55" spans="2:7" ht="40.5" customHeight="1">
      <c r="B55" s="1003" t="s">
        <v>199</v>
      </c>
      <c r="C55" s="1310" t="s">
        <v>446</v>
      </c>
      <c r="D55" s="1311"/>
      <c r="E55" s="1311"/>
      <c r="F55" s="1311"/>
      <c r="G55" s="1311"/>
    </row>
    <row r="56" spans="2:3" ht="20.25" customHeight="1">
      <c r="B56" s="833" t="s">
        <v>447</v>
      </c>
      <c r="C56" t="s">
        <v>448</v>
      </c>
    </row>
    <row r="57" ht="15" customHeight="1">
      <c r="C57" t="s">
        <v>449</v>
      </c>
    </row>
    <row r="58" ht="15" customHeight="1">
      <c r="C58" t="s">
        <v>450</v>
      </c>
    </row>
  </sheetData>
  <sheetProtection password="DB77" sheet="1" objects="1" scenarios="1"/>
  <mergeCells count="16">
    <mergeCell ref="C36:G37"/>
    <mergeCell ref="C38:G39"/>
    <mergeCell ref="C40:G41"/>
    <mergeCell ref="B43:G43"/>
    <mergeCell ref="C55:G55"/>
    <mergeCell ref="B46:G46"/>
    <mergeCell ref="B48:D48"/>
    <mergeCell ref="B49:G49"/>
    <mergeCell ref="B52:G52"/>
    <mergeCell ref="B14:E14"/>
    <mergeCell ref="B28:E28"/>
    <mergeCell ref="C34:G35"/>
    <mergeCell ref="B4:H4"/>
    <mergeCell ref="B7:H7"/>
    <mergeCell ref="B10:E11"/>
    <mergeCell ref="B13:E13"/>
  </mergeCells>
  <printOptions/>
  <pageMargins left="0.787401575" right="0.34" top="0.54" bottom="0.39" header="0.4921259845" footer="0.17"/>
  <pageSetup fitToHeight="1" fitToWidth="1" horizontalDpi="600" verticalDpi="600" orientation="portrait" paperSize="9" scale="75" r:id="rId1"/>
  <headerFooter alignWithMargins="0">
    <oddFooter>&amp;L&amp;F&amp;R&amp;A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306"/>
  <sheetViews>
    <sheetView tabSelected="1" zoomScalePageLayoutView="0" workbookViewId="0" topLeftCell="A1">
      <selection activeCell="A5" sqref="A5"/>
    </sheetView>
  </sheetViews>
  <sheetFormatPr defaultColWidth="11.421875" defaultRowHeight="12.75"/>
  <cols>
    <col min="1" max="1" width="8.421875" style="245" customWidth="1"/>
    <col min="2" max="2" width="14.00390625" style="246" customWidth="1"/>
    <col min="3" max="3" width="14.28125" style="245" customWidth="1"/>
    <col min="4" max="4" width="6.28125" style="245" customWidth="1"/>
    <col min="5" max="5" width="12.00390625" style="245" customWidth="1"/>
    <col min="6" max="6" width="15.140625" style="245" customWidth="1"/>
    <col min="7" max="7" width="16.7109375" style="245" customWidth="1"/>
    <col min="8" max="8" width="20.57421875" style="245" customWidth="1"/>
    <col min="9" max="9" width="2.57421875" style="245" customWidth="1"/>
    <col min="10" max="10" width="33.28125" style="245" bestFit="1" customWidth="1"/>
    <col min="11" max="16384" width="11.421875" style="245" customWidth="1"/>
  </cols>
  <sheetData>
    <row r="1" spans="1:8" ht="23.25" customHeight="1">
      <c r="A1" s="673" t="s">
        <v>47</v>
      </c>
      <c r="B1" s="457"/>
      <c r="C1" s="457"/>
      <c r="D1" s="816">
        <f>IF(OR(H19&gt;0,Antrag!K26=0,Antrag!I15="x"),"","Anlage entfällt")</f>
      </c>
      <c r="E1" s="457"/>
      <c r="F1" s="457"/>
      <c r="G1" s="458"/>
      <c r="H1" s="459"/>
    </row>
    <row r="2" spans="1:8" ht="18.75" customHeight="1">
      <c r="A2" s="460" t="s">
        <v>374</v>
      </c>
      <c r="B2" s="461"/>
      <c r="C2" s="461"/>
      <c r="D2" s="461"/>
      <c r="E2" s="461"/>
      <c r="F2" s="461"/>
      <c r="G2" s="462"/>
      <c r="H2" s="463"/>
    </row>
    <row r="3" spans="1:8" ht="27" customHeight="1">
      <c r="A3" s="464" t="s">
        <v>226</v>
      </c>
      <c r="B3" s="461"/>
      <c r="C3" s="461"/>
      <c r="D3" s="813"/>
      <c r="E3" s="657"/>
      <c r="F3" s="461"/>
      <c r="G3" s="465" t="s">
        <v>225</v>
      </c>
      <c r="H3" s="466">
        <f>MAX(A100:A115)</f>
        <v>41395</v>
      </c>
    </row>
    <row r="4" spans="1:8" ht="27" customHeight="1" thickBot="1">
      <c r="A4" s="1338" t="s">
        <v>227</v>
      </c>
      <c r="B4" s="1339"/>
      <c r="C4" s="1339"/>
      <c r="D4" s="1339"/>
      <c r="E4" s="1339"/>
      <c r="F4" s="1340" t="s">
        <v>322</v>
      </c>
      <c r="G4" s="1341"/>
      <c r="H4" s="467">
        <f>MAX(A119:A305)</f>
        <v>41913</v>
      </c>
    </row>
    <row r="5" spans="1:8" ht="6.75" customHeight="1">
      <c r="A5" s="337"/>
      <c r="B5" s="404"/>
      <c r="C5" s="350"/>
      <c r="D5" s="350"/>
      <c r="E5" s="350"/>
      <c r="F5" s="350"/>
      <c r="G5" s="350"/>
      <c r="H5" s="350"/>
    </row>
    <row r="6" spans="1:8" ht="51.75" customHeight="1">
      <c r="A6" s="1347" t="s">
        <v>342</v>
      </c>
      <c r="B6" s="1348"/>
      <c r="C6" s="1348"/>
      <c r="D6" s="1348"/>
      <c r="E6" s="1348"/>
      <c r="F6" s="1348"/>
      <c r="G6" s="1348"/>
      <c r="H6" s="1349"/>
    </row>
    <row r="7" spans="1:8" ht="7.5" customHeight="1">
      <c r="A7" s="627"/>
      <c r="B7" s="472"/>
      <c r="C7" s="472"/>
      <c r="D7" s="472"/>
      <c r="E7" s="472"/>
      <c r="F7" s="472"/>
      <c r="G7" s="472"/>
      <c r="H7" s="472"/>
    </row>
    <row r="8" spans="1:8" ht="19.5" customHeight="1">
      <c r="A8" s="1353">
        <f>Antrag!B5</f>
        <v>0</v>
      </c>
      <c r="B8" s="1354"/>
      <c r="C8" s="1354"/>
      <c r="D8" s="1354"/>
      <c r="E8" s="1354"/>
      <c r="F8" s="1354"/>
      <c r="G8" s="1354"/>
      <c r="H8" s="1354"/>
    </row>
    <row r="9" spans="1:8" ht="12" customHeight="1">
      <c r="A9" s="347" t="s">
        <v>184</v>
      </c>
      <c r="B9" s="397"/>
      <c r="C9" s="446"/>
      <c r="D9" s="446"/>
      <c r="E9" s="446"/>
      <c r="F9" s="446"/>
      <c r="G9" s="446"/>
      <c r="H9" s="446"/>
    </row>
    <row r="10" spans="1:8" s="283" customFormat="1" ht="20.25" customHeight="1">
      <c r="A10" s="468" t="s">
        <v>111</v>
      </c>
      <c r="B10" s="469"/>
      <c r="C10" s="470"/>
      <c r="D10" s="470"/>
      <c r="E10" s="470"/>
      <c r="F10" s="470"/>
      <c r="G10" s="470"/>
      <c r="H10" s="470"/>
    </row>
    <row r="11" spans="2:8" ht="4.5" customHeight="1" thickBot="1">
      <c r="B11" s="397"/>
      <c r="C11" s="446"/>
      <c r="D11" s="446"/>
      <c r="E11" s="446"/>
      <c r="F11" s="446"/>
      <c r="G11" s="446"/>
      <c r="H11" s="446"/>
    </row>
    <row r="12" spans="1:8" ht="13.5" thickBot="1">
      <c r="A12" s="1355" t="s">
        <v>334</v>
      </c>
      <c r="B12" s="1253"/>
      <c r="C12" s="1253"/>
      <c r="D12" s="1253"/>
      <c r="E12" s="1253"/>
      <c r="F12" s="1253"/>
      <c r="G12" s="1356"/>
      <c r="H12" s="633">
        <f>IF(AND(Antrag!K12="Erstantrag",Antrag!H10&gt;0),Antrag!H10,IF(Antrag!K40=0,"",Antrag!K40))</f>
      </c>
    </row>
    <row r="13" spans="1:8" ht="15" customHeight="1">
      <c r="A13" s="1355" t="s">
        <v>108</v>
      </c>
      <c r="B13" s="1253"/>
      <c r="C13" s="1253"/>
      <c r="D13" s="1253"/>
      <c r="E13" s="1253"/>
      <c r="F13" s="1253"/>
      <c r="G13" s="1356"/>
      <c r="H13" s="634">
        <f>Antrag!K28</f>
        <v>0</v>
      </c>
    </row>
    <row r="14" spans="1:8" ht="15" customHeight="1" thickBot="1">
      <c r="A14" s="1357" t="s">
        <v>84</v>
      </c>
      <c r="B14" s="1129"/>
      <c r="C14" s="1129"/>
      <c r="D14" s="1129"/>
      <c r="E14" s="1129"/>
      <c r="F14" s="1129"/>
      <c r="G14" s="1358"/>
      <c r="H14" s="637">
        <f>Antrag!K26</f>
        <v>0</v>
      </c>
    </row>
    <row r="15" spans="1:8" ht="13.5" customHeight="1">
      <c r="A15" s="843" t="s">
        <v>370</v>
      </c>
      <c r="B15" s="404"/>
      <c r="C15" s="404"/>
      <c r="D15" s="404"/>
      <c r="E15" s="404"/>
      <c r="F15" s="807"/>
      <c r="G15" s="635">
        <f>IF(H15=0,0,ROUND(H15/H13,2))</f>
        <v>0</v>
      </c>
      <c r="H15" s="821">
        <f>Antrag!K33</f>
        <v>0</v>
      </c>
    </row>
    <row r="16" spans="1:8" ht="13.5" thickBot="1">
      <c r="A16" s="806" t="s">
        <v>335</v>
      </c>
      <c r="B16" s="340"/>
      <c r="C16" s="404"/>
      <c r="D16" s="404"/>
      <c r="E16" s="404"/>
      <c r="F16" s="805"/>
      <c r="G16" s="636">
        <f>IF(H16=0,0,ROUND(H16/H13,2))</f>
        <v>0</v>
      </c>
      <c r="H16" s="822">
        <f>Antrag!K34</f>
        <v>0</v>
      </c>
    </row>
    <row r="17" spans="1:7" ht="21.75" customHeight="1" thickBot="1">
      <c r="A17" s="809" t="s">
        <v>325</v>
      </c>
      <c r="B17" s="788"/>
      <c r="C17" s="788"/>
      <c r="D17" s="788"/>
      <c r="E17" s="788"/>
      <c r="F17" s="788"/>
      <c r="G17" s="788"/>
    </row>
    <row r="18" spans="1:8" ht="13.5" customHeight="1" thickBot="1">
      <c r="A18" s="292" t="str">
        <f>IF(Antrag!K12&lt;&gt;"Folgeantrag","1.a)  Mieten zum Zeitpunkt der erstmaligen Zustimmung:","1.a)  entfällt")</f>
        <v>1.a)  Mieten zum Zeitpunkt der erstmaligen Zustimmung:</v>
      </c>
      <c r="B18" s="808"/>
      <c r="C18" s="786"/>
      <c r="D18" s="786"/>
      <c r="E18" s="786"/>
      <c r="F18" s="786"/>
      <c r="G18" s="800" t="str">
        <f>IF(Antrag!K12&lt;&gt;"Folgeantrag","[lt. vorgelegten Mietverträgen]","")</f>
        <v>[lt. vorgelegten Mietverträgen]</v>
      </c>
      <c r="H18" s="823">
        <f>IF(Antrag!K12="Erstantrag",Antrag!K37,0)</f>
        <v>0</v>
      </c>
    </row>
    <row r="19" spans="1:8" s="283" customFormat="1" ht="26.25" customHeight="1" thickBot="1" thickTop="1">
      <c r="A19" s="1350" t="str">
        <f>IF(Antrag!K12="Folgeantrag","1.b)  Damals aktuelle Mieten zum Zeitpunkt der erstmaligen Zustimmung;
         vgl. ersten Zustimmungsbescheid zur Neu-/Umbaumaßnahme","1.b)  entfällt")</f>
        <v>1.b)  entfällt</v>
      </c>
      <c r="B19" s="1351"/>
      <c r="C19" s="1351"/>
      <c r="D19" s="1351"/>
      <c r="E19" s="1351"/>
      <c r="F19" s="1351"/>
      <c r="G19" s="1352"/>
      <c r="H19" s="790"/>
    </row>
    <row r="20" spans="1:8" ht="20.25" customHeight="1" thickBot="1" thickTop="1">
      <c r="A20" s="827" t="str">
        <f>IF(OR(Antrag!K12="",Antrag!H15="x",Antrag!H16="x"),"2.)    Bau- und/oder Einrichtungskosten des Betreibers (Mieters)       ","2.)    entfällt")</f>
        <v>2.)    Bau- und/oder Einrichtungskosten des Betreibers (Mieters)       </v>
      </c>
      <c r="B20" s="245"/>
      <c r="F20" s="810"/>
      <c r="G20" s="811" t="str">
        <f>IF(A20="2.)    entfällt","","[lt. Anlage 4 Kostennachweis]")</f>
        <v>[lt. Anlage 4 Kostennachweis]</v>
      </c>
      <c r="H20" s="791"/>
    </row>
    <row r="21" spans="1:8" ht="13.5" customHeight="1">
      <c r="A21" s="787" t="str">
        <f>IF(OR(Antrag!K12="",AND(Antrag!H15="x",Antrag!K44="vorläufiger KN"),AND(Antrag!H16="x",Antrag!K44="vorläufiger KN")),"2.a)  Zum Zeitpunkt des Erstantrages (vorläufiger Kostennachweis bei Inbetriebnahme)","2.a)  entfällt")</f>
        <v>2.a)  Zum Zeitpunkt des Erstantrages (vorläufiger Kostennachweis bei Inbetriebnahme)</v>
      </c>
      <c r="C21" s="785"/>
      <c r="D21" s="785"/>
      <c r="E21" s="785"/>
      <c r="F21" s="788"/>
      <c r="G21" s="246"/>
      <c r="H21" s="824">
        <f>IF(A21="2.a)  entfällt",0,Antrag!K43)</f>
        <v>0</v>
      </c>
    </row>
    <row r="22" spans="1:8" ht="13.5" customHeight="1" thickBot="1">
      <c r="A22" s="787" t="str">
        <f>IF(Antrag!K44="endgültiger KN","2.b)  Erster endgültiger Kostennachweis nach Inbetriebnahme","2.b)  entfällt")</f>
        <v>2.b)  entfällt</v>
      </c>
      <c r="C22" s="785"/>
      <c r="D22" s="785"/>
      <c r="E22" s="785"/>
      <c r="F22" s="788"/>
      <c r="H22" s="825">
        <f>IF(A22="2.b)  entfällt",0,Antrag!K43)</f>
        <v>0</v>
      </c>
    </row>
    <row r="23" spans="1:8" ht="7.5" customHeight="1" thickBot="1">
      <c r="A23" s="471"/>
      <c r="B23" s="391"/>
      <c r="C23" s="391"/>
      <c r="D23" s="391"/>
      <c r="E23" s="391"/>
      <c r="F23" s="337"/>
      <c r="G23" s="337"/>
      <c r="H23" s="447"/>
    </row>
    <row r="24" spans="1:8" ht="13.5" customHeight="1">
      <c r="A24" s="1372" t="s">
        <v>52</v>
      </c>
      <c r="B24" s="1112"/>
      <c r="C24" s="1112"/>
      <c r="D24" s="1112"/>
      <c r="E24" s="1112"/>
      <c r="F24" s="1373"/>
      <c r="G24" s="1366">
        <f>H14</f>
        <v>0</v>
      </c>
      <c r="H24" s="1367"/>
    </row>
    <row r="25" spans="1:8" ht="25.5" customHeight="1" thickBot="1">
      <c r="A25" s="1342" t="s">
        <v>61</v>
      </c>
      <c r="B25" s="1343"/>
      <c r="C25" s="1343"/>
      <c r="D25" s="1343"/>
      <c r="E25" s="1343"/>
      <c r="F25" s="1344"/>
      <c r="G25" s="1368"/>
      <c r="H25" s="1369"/>
    </row>
    <row r="26" spans="1:8" ht="6.75" customHeight="1">
      <c r="A26" s="337"/>
      <c r="B26" s="404"/>
      <c r="C26" s="350"/>
      <c r="D26" s="350"/>
      <c r="E26" s="350"/>
      <c r="F26" s="350"/>
      <c r="G26" s="350"/>
      <c r="H26" s="446"/>
    </row>
    <row r="27" spans="1:8" ht="12.75">
      <c r="A27" s="473" t="s">
        <v>86</v>
      </c>
      <c r="B27" s="340"/>
      <c r="C27" s="350"/>
      <c r="D27" s="350"/>
      <c r="E27" s="350"/>
      <c r="F27" s="350"/>
      <c r="G27" s="474"/>
      <c r="H27" s="448"/>
    </row>
    <row r="28" spans="1:13" ht="12.75">
      <c r="A28" s="337"/>
      <c r="B28" s="475">
        <f>IF(D1="Anlage entfällt",0,G16)</f>
        <v>0</v>
      </c>
      <c r="C28" s="476" t="s">
        <v>58</v>
      </c>
      <c r="D28" s="1322">
        <f>IF(OR(H14="Tagespflege",H14="Nachtpflege"),VLOOKUP(H12,C100:F115,4),IF('Anlg.3 Berechnung'!F19="ja",VLOOKUP(H12,C100:F115,3),1705))</f>
        <v>1705</v>
      </c>
      <c r="E28" s="1323"/>
      <c r="F28" s="350" t="s">
        <v>57</v>
      </c>
      <c r="G28" s="1345">
        <f>IF(D28&gt;0,ROUND(B28*D28,0),ROUND(B28*D30,0))</f>
        <v>0</v>
      </c>
      <c r="H28" s="1346"/>
      <c r="J28" s="1361"/>
      <c r="K28" s="1362"/>
      <c r="L28" s="1362"/>
      <c r="M28" s="1362"/>
    </row>
    <row r="29" spans="1:13" ht="12.75">
      <c r="A29" s="337"/>
      <c r="B29" s="477"/>
      <c r="C29" s="655"/>
      <c r="D29" s="476"/>
      <c r="E29" s="350"/>
      <c r="F29" s="350"/>
      <c r="G29" s="478" t="s">
        <v>59</v>
      </c>
      <c r="H29" s="479" t="str">
        <f>IF('Anlg.3 Berechnung'!F19="ja","85% (AfA 4%)","85% (AfA 2%)")</f>
        <v>85% (AfA 2%)</v>
      </c>
      <c r="J29" s="1362"/>
      <c r="K29" s="1362"/>
      <c r="L29" s="1362"/>
      <c r="M29" s="1362"/>
    </row>
    <row r="30" spans="1:10" ht="12.75">
      <c r="A30" s="337"/>
      <c r="B30" s="653">
        <f>IF(C30="","","Beispielrechnung Stand")</f>
      </c>
      <c r="C30" s="654">
        <f>IF(OR(D28=1705,H12=""),"",IF(H12-609&gt;MAX(A100:A115),H12,""))</f>
      </c>
      <c r="D30" s="1380">
        <f>IF(C30="",0,IF(OR(H14="Tagespflege",H14="Nachtpflege"),MAX(H100:H115),IF('Anlg.3 Berechnung'!F19="ja",MAX(G100:G115),1705)))</f>
        <v>0</v>
      </c>
      <c r="E30" s="1381"/>
      <c r="F30" s="350"/>
      <c r="G30" s="480">
        <f>ROUND(G28*0.15,0)</f>
        <v>0</v>
      </c>
      <c r="H30" s="480">
        <f>G28-G30</f>
        <v>0</v>
      </c>
      <c r="J30" s="193"/>
    </row>
    <row r="31" spans="1:13" ht="18" customHeight="1">
      <c r="A31" s="473" t="s">
        <v>117</v>
      </c>
      <c r="B31" s="340"/>
      <c r="C31" s="350"/>
      <c r="D31" s="350"/>
      <c r="E31" s="350"/>
      <c r="F31" s="350"/>
      <c r="G31" s="474"/>
      <c r="H31" s="474"/>
      <c r="J31" s="1359"/>
      <c r="K31" s="1360"/>
      <c r="L31" s="1360"/>
      <c r="M31" s="1360"/>
    </row>
    <row r="32" spans="1:13" ht="18" customHeight="1" thickBot="1">
      <c r="A32" s="481" t="s">
        <v>62</v>
      </c>
      <c r="B32" s="340"/>
      <c r="C32" s="350"/>
      <c r="D32" s="350"/>
      <c r="E32" s="350"/>
      <c r="F32" s="350"/>
      <c r="G32" s="474"/>
      <c r="H32" s="474"/>
      <c r="J32" s="1360"/>
      <c r="K32" s="1360"/>
      <c r="L32" s="1360"/>
      <c r="M32" s="1360"/>
    </row>
    <row r="33" spans="1:8" ht="13.5" thickBot="1">
      <c r="A33" s="337"/>
      <c r="B33" s="482">
        <f>IF(D1="Anlage entfällt",0,IF(H22&gt;0,H22,H21))</f>
        <v>0</v>
      </c>
      <c r="C33" s="483" t="s">
        <v>56</v>
      </c>
      <c r="D33" s="1321">
        <f>H13</f>
        <v>0</v>
      </c>
      <c r="E33" s="1320"/>
      <c r="F33" s="485">
        <f>IF(D33=0,0,ROUND(B33/D33,0))</f>
        <v>0</v>
      </c>
      <c r="G33" s="486">
        <f>IF(F33&gt;G30,G30,F33)</f>
        <v>0</v>
      </c>
      <c r="H33" s="486">
        <f>F33-G33</f>
        <v>0</v>
      </c>
    </row>
    <row r="34" spans="1:8" ht="12.75">
      <c r="A34" s="337"/>
      <c r="B34" s="404" t="s">
        <v>340</v>
      </c>
      <c r="C34" s="483"/>
      <c r="D34" s="483"/>
      <c r="E34" s="484"/>
      <c r="F34" s="484"/>
      <c r="G34" s="487"/>
      <c r="H34" s="487"/>
    </row>
    <row r="35" spans="1:8" ht="18" customHeight="1" thickBot="1">
      <c r="A35" s="481" t="s">
        <v>87</v>
      </c>
      <c r="B35" s="340"/>
      <c r="C35" s="483"/>
      <c r="D35" s="483"/>
      <c r="E35" s="484"/>
      <c r="F35" s="488"/>
      <c r="G35" s="489"/>
      <c r="H35" s="489"/>
    </row>
    <row r="36" spans="1:8" ht="14.25" thickBot="1" thickTop="1">
      <c r="A36" s="337"/>
      <c r="B36" s="490">
        <f>IF(D1="Anlage entfällt",0,G28)</f>
        <v>0</v>
      </c>
      <c r="C36" s="476" t="s">
        <v>60</v>
      </c>
      <c r="D36" s="1319">
        <f>F33</f>
        <v>0</v>
      </c>
      <c r="E36" s="1320"/>
      <c r="F36" s="491">
        <f>B36-D36</f>
        <v>0</v>
      </c>
      <c r="G36" s="492">
        <f>G30-G33</f>
        <v>0</v>
      </c>
      <c r="H36" s="493">
        <f>H30-H33</f>
        <v>0</v>
      </c>
    </row>
    <row r="37" spans="1:8" ht="6.75" customHeight="1">
      <c r="A37" s="337"/>
      <c r="B37" s="404"/>
      <c r="C37" s="350"/>
      <c r="D37" s="350"/>
      <c r="E37" s="350"/>
      <c r="F37" s="350"/>
      <c r="G37" s="494"/>
      <c r="H37" s="495"/>
    </row>
    <row r="38" spans="1:8" ht="26.25" customHeight="1">
      <c r="A38" s="496" t="s">
        <v>88</v>
      </c>
      <c r="B38" s="497"/>
      <c r="C38" s="497"/>
      <c r="D38" s="497"/>
      <c r="E38" s="497"/>
      <c r="F38" s="497"/>
      <c r="G38" s="498"/>
      <c r="H38" s="499"/>
    </row>
    <row r="39" spans="1:8" ht="15" customHeight="1">
      <c r="A39" s="500" t="s">
        <v>69</v>
      </c>
      <c r="B39" s="340"/>
      <c r="C39" s="501"/>
      <c r="D39" s="501"/>
      <c r="E39" s="501"/>
      <c r="F39" s="337"/>
      <c r="G39" s="498"/>
      <c r="H39" s="502"/>
    </row>
    <row r="40" spans="1:11" ht="12.75">
      <c r="A40" s="337"/>
      <c r="B40" s="503" t="s">
        <v>63</v>
      </c>
      <c r="C40" s="504">
        <f>G36</f>
        <v>0</v>
      </c>
      <c r="D40" s="505" t="s">
        <v>67</v>
      </c>
      <c r="E40" s="505" t="s">
        <v>115</v>
      </c>
      <c r="F40" s="506" t="s">
        <v>57</v>
      </c>
      <c r="G40" s="507">
        <f>G36*10%</f>
        <v>0</v>
      </c>
      <c r="H40" s="508" t="s">
        <v>114</v>
      </c>
      <c r="K40" s="953"/>
    </row>
    <row r="41" spans="1:13" ht="12.75">
      <c r="A41" s="337"/>
      <c r="B41" s="503" t="s">
        <v>64</v>
      </c>
      <c r="C41" s="504">
        <f>H36</f>
        <v>0</v>
      </c>
      <c r="D41" s="505" t="s">
        <v>67</v>
      </c>
      <c r="E41" s="954" t="str">
        <f>IF('Anlg.3 Berechnung'!F19="ja","x 4% AfA =","x 2% AfA =")</f>
        <v>x 2% AfA =</v>
      </c>
      <c r="F41" s="506" t="s">
        <v>57</v>
      </c>
      <c r="G41" s="509" t="s">
        <v>114</v>
      </c>
      <c r="H41" s="510">
        <f>IF('Anlg.3 Berechnung'!F19="ja",H36*4%,H36*2%)</f>
        <v>0</v>
      </c>
      <c r="J41" s="1370"/>
      <c r="K41" s="1371"/>
      <c r="L41" s="1371"/>
      <c r="M41" s="1371"/>
    </row>
    <row r="42" spans="1:13" ht="13.5" thickBot="1">
      <c r="A42" s="337"/>
      <c r="B42" s="503" t="s">
        <v>65</v>
      </c>
      <c r="C42" s="504">
        <f>F36</f>
        <v>0</v>
      </c>
      <c r="D42" s="505" t="s">
        <v>67</v>
      </c>
      <c r="E42" s="505" t="s">
        <v>116</v>
      </c>
      <c r="F42" s="506" t="s">
        <v>57</v>
      </c>
      <c r="G42" s="511">
        <f>G36*1%</f>
        <v>0</v>
      </c>
      <c r="H42" s="512">
        <f>H36*1%</f>
        <v>0</v>
      </c>
      <c r="J42" s="1371"/>
      <c r="K42" s="1371"/>
      <c r="L42" s="1371"/>
      <c r="M42" s="1371"/>
    </row>
    <row r="43" spans="1:8" ht="22.5" customHeight="1" thickBot="1" thickTop="1">
      <c r="A43" s="337"/>
      <c r="B43" s="473" t="s">
        <v>66</v>
      </c>
      <c r="C43" s="337"/>
      <c r="D43" s="337"/>
      <c r="E43" s="503"/>
      <c r="F43" s="513"/>
      <c r="G43" s="1376">
        <f>ROUND(SUM(G40:H42),0)</f>
        <v>0</v>
      </c>
      <c r="H43" s="1377"/>
    </row>
    <row r="44" spans="1:8" ht="15.75" thickBot="1">
      <c r="A44" s="337"/>
      <c r="B44" s="340"/>
      <c r="C44" s="337"/>
      <c r="D44" s="337"/>
      <c r="E44" s="514">
        <f>G43</f>
        <v>0</v>
      </c>
      <c r="F44" s="505" t="s">
        <v>371</v>
      </c>
      <c r="G44" s="844">
        <f>H13</f>
        <v>0</v>
      </c>
      <c r="H44" s="515">
        <f>G43*G44</f>
        <v>0</v>
      </c>
    </row>
    <row r="45" spans="1:8" ht="6.75" customHeight="1">
      <c r="A45" s="337"/>
      <c r="B45" s="404"/>
      <c r="C45" s="350"/>
      <c r="D45" s="350"/>
      <c r="E45" s="350"/>
      <c r="F45" s="350"/>
      <c r="G45" s="350"/>
      <c r="H45" s="350"/>
    </row>
    <row r="46" spans="1:10" s="449" customFormat="1" ht="15" customHeight="1">
      <c r="A46" s="500" t="s">
        <v>68</v>
      </c>
      <c r="B46" s="390"/>
      <c r="C46" s="501"/>
      <c r="D46" s="501"/>
      <c r="E46" s="501"/>
      <c r="F46" s="516"/>
      <c r="G46" s="390"/>
      <c r="H46" s="390"/>
      <c r="J46" s="245"/>
    </row>
    <row r="47" spans="1:8" ht="12.75">
      <c r="A47" s="337"/>
      <c r="B47" s="517">
        <f>F36</f>
        <v>0</v>
      </c>
      <c r="C47" s="506" t="s">
        <v>67</v>
      </c>
      <c r="D47" s="506"/>
      <c r="E47" s="518">
        <f>H13</f>
        <v>0</v>
      </c>
      <c r="F47" s="337"/>
      <c r="G47" s="519">
        <f>B47*E47</f>
        <v>0</v>
      </c>
      <c r="H47" s="390"/>
    </row>
    <row r="48" spans="1:8" ht="12.75">
      <c r="A48" s="337"/>
      <c r="B48" s="340"/>
      <c r="C48" s="503"/>
      <c r="D48" s="503"/>
      <c r="E48" s="503"/>
      <c r="F48" s="520" t="s">
        <v>372</v>
      </c>
      <c r="G48" s="521">
        <f>H12</f>
      </c>
      <c r="H48" s="667">
        <f>IF(G49&gt;0,"",H4)</f>
        <v>41913</v>
      </c>
    </row>
    <row r="49" spans="1:10" ht="13.5" thickBot="1">
      <c r="A49" s="337"/>
      <c r="B49" s="340"/>
      <c r="C49" s="503"/>
      <c r="D49" s="503"/>
      <c r="E49" s="503"/>
      <c r="F49" s="520" t="s">
        <v>89</v>
      </c>
      <c r="G49" s="522">
        <f>IF(G48="",0,VLOOKUP(G48,B119:C305,2))</f>
        <v>0</v>
      </c>
      <c r="H49" s="672">
        <f>IF(G49=0,MAX(D119:D267),"")</f>
        <v>0.0424</v>
      </c>
      <c r="J49" s="943"/>
    </row>
    <row r="50" spans="1:10" ht="16.5" customHeight="1" thickBot="1">
      <c r="A50" s="1335" t="s">
        <v>112</v>
      </c>
      <c r="B50" s="1336"/>
      <c r="C50" s="1337"/>
      <c r="D50" s="503"/>
      <c r="E50" s="503"/>
      <c r="F50" s="520" t="s">
        <v>90</v>
      </c>
      <c r="G50" s="523">
        <f>IF(G49=0,(-PMT((H49),25,1000000,0,0)/1000000-(H49)),(-PMT((G49),25,100000,0,0)/100000-(G49)))</f>
        <v>0.023245997293091854</v>
      </c>
      <c r="H50" s="515">
        <f>IF(G49=0,ROUND(+(25*(-PMT(H49,25,G47,0,0))-G47)/25,0),ROUND(+(25*(-PMT(G49,25,G47,0,0))-G47)/25,0))</f>
        <v>0</v>
      </c>
      <c r="J50" s="943"/>
    </row>
    <row r="51" spans="1:10" ht="12.75" customHeight="1" thickBot="1">
      <c r="A51" s="337"/>
      <c r="B51" s="404"/>
      <c r="C51" s="350"/>
      <c r="D51" s="350"/>
      <c r="E51" s="350"/>
      <c r="F51" s="350"/>
      <c r="G51" s="350"/>
      <c r="H51" s="350"/>
      <c r="J51" s="943"/>
    </row>
    <row r="52" spans="1:10" ht="16.5" thickBot="1" thickTop="1">
      <c r="A52" s="1330" t="s">
        <v>113</v>
      </c>
      <c r="B52" s="1295"/>
      <c r="C52" s="1295"/>
      <c r="D52" s="1295"/>
      <c r="E52" s="1295"/>
      <c r="F52" s="1295"/>
      <c r="G52" s="524"/>
      <c r="H52" s="525">
        <f>H44+H50</f>
        <v>0</v>
      </c>
      <c r="J52" s="943"/>
    </row>
    <row r="53" spans="1:8" ht="8.25" customHeight="1" thickBot="1">
      <c r="A53" s="337"/>
      <c r="B53" s="404"/>
      <c r="C53" s="350"/>
      <c r="D53" s="350"/>
      <c r="E53" s="350"/>
      <c r="F53" s="350"/>
      <c r="G53" s="350"/>
      <c r="H53" s="350"/>
    </row>
    <row r="54" spans="1:8" ht="15.75" thickBot="1">
      <c r="A54" s="1327" t="s">
        <v>324</v>
      </c>
      <c r="B54" s="1328"/>
      <c r="C54" s="1328"/>
      <c r="D54" s="1328"/>
      <c r="E54" s="1328"/>
      <c r="F54" s="1329"/>
      <c r="G54" s="527"/>
      <c r="H54" s="528">
        <f>IF(H19&gt;0,H19,H18)</f>
        <v>0</v>
      </c>
    </row>
    <row r="55" spans="1:8" ht="9" customHeight="1" thickBot="1">
      <c r="A55" s="337"/>
      <c r="B55" s="404"/>
      <c r="C55" s="350"/>
      <c r="D55" s="350"/>
      <c r="E55" s="350"/>
      <c r="F55" s="350"/>
      <c r="G55" s="350"/>
      <c r="H55" s="350"/>
    </row>
    <row r="56" spans="1:10" s="283" customFormat="1" ht="50.25" customHeight="1" thickBot="1">
      <c r="A56" s="1378" t="str">
        <f>IF(G49&gt;0,"4.)    Feststellung der Niederstwertrege-
         lung zum Zeitpunkt der erstmaligen
         Antragstellung/Jahr § 4 II GesBerVO","4.)    letzter Stand der Beispielberech- 
        nung =    "&amp;DAY(H4)&amp;"."&amp;MONTH(H4)&amp;"."&amp;YEAR(H4)&amp;"    möglich")</f>
        <v>4.)    letzter Stand der Beispielberech- 
        nung =    1.10.2014    möglich</v>
      </c>
      <c r="B56" s="1379"/>
      <c r="C56" s="1379"/>
      <c r="D56" s="1379"/>
      <c r="E56" s="1333" t="s">
        <v>331</v>
      </c>
      <c r="F56" s="1334"/>
      <c r="G56" s="1374">
        <f>MIN(H52,H54)</f>
        <v>0</v>
      </c>
      <c r="H56" s="1375"/>
      <c r="J56" s="245"/>
    </row>
    <row r="57" spans="1:8" ht="26.25" customHeight="1" thickBot="1">
      <c r="A57" s="337"/>
      <c r="B57" s="340"/>
      <c r="C57" s="337"/>
      <c r="D57" s="337"/>
      <c r="E57" s="337"/>
      <c r="F57" s="337"/>
      <c r="G57" s="337"/>
      <c r="H57" s="337"/>
    </row>
    <row r="58" spans="1:10" s="283" customFormat="1" ht="59.25" customHeight="1" thickBot="1" thickTop="1">
      <c r="A58" s="1363" t="s">
        <v>230</v>
      </c>
      <c r="B58" s="1364"/>
      <c r="C58" s="1364"/>
      <c r="D58" s="1364"/>
      <c r="E58" s="1364"/>
      <c r="F58" s="1364"/>
      <c r="G58" s="1364"/>
      <c r="H58" s="1365"/>
      <c r="J58" s="944"/>
    </row>
    <row r="59" spans="1:8" ht="14.25" thickBot="1" thickTop="1">
      <c r="A59" s="340"/>
      <c r="B59" s="337"/>
      <c r="C59" s="337"/>
      <c r="D59" s="337"/>
      <c r="E59" s="337"/>
      <c r="F59" s="337"/>
      <c r="G59" s="337"/>
      <c r="H59" s="337"/>
    </row>
    <row r="60" spans="1:8" s="283" customFormat="1" ht="19.5" customHeight="1" thickTop="1">
      <c r="A60" s="19" t="s">
        <v>92</v>
      </c>
      <c r="B60" s="20" t="s">
        <v>93</v>
      </c>
      <c r="C60" s="21" t="s">
        <v>94</v>
      </c>
      <c r="D60" s="529" t="s">
        <v>95</v>
      </c>
      <c r="E60" s="20" t="s">
        <v>96</v>
      </c>
      <c r="F60" s="529" t="s">
        <v>97</v>
      </c>
      <c r="G60" s="20" t="s">
        <v>98</v>
      </c>
      <c r="H60" s="22" t="s">
        <v>96</v>
      </c>
    </row>
    <row r="61" spans="1:8" s="283" customFormat="1" ht="19.5" customHeight="1">
      <c r="A61" s="23"/>
      <c r="B61" s="24" t="s">
        <v>106</v>
      </c>
      <c r="C61" s="25" t="s">
        <v>107</v>
      </c>
      <c r="D61" s="530" t="s">
        <v>99</v>
      </c>
      <c r="E61" s="24" t="s">
        <v>100</v>
      </c>
      <c r="F61" s="530" t="s">
        <v>99</v>
      </c>
      <c r="G61" s="24"/>
      <c r="H61" s="26" t="s">
        <v>101</v>
      </c>
    </row>
    <row r="62" spans="1:8" s="283" customFormat="1" ht="19.5" customHeight="1" thickBot="1">
      <c r="A62" s="27"/>
      <c r="B62" s="28" t="s">
        <v>104</v>
      </c>
      <c r="C62" s="29" t="s">
        <v>102</v>
      </c>
      <c r="D62" s="531" t="s">
        <v>103</v>
      </c>
      <c r="E62" s="28" t="s">
        <v>104</v>
      </c>
      <c r="F62" s="531" t="s">
        <v>103</v>
      </c>
      <c r="G62" s="30"/>
      <c r="H62" s="31" t="s">
        <v>104</v>
      </c>
    </row>
    <row r="63" spans="1:8" s="283" customFormat="1" ht="19.5" customHeight="1">
      <c r="A63" s="32">
        <v>1</v>
      </c>
      <c r="B63" s="33">
        <f>G47</f>
        <v>0</v>
      </c>
      <c r="C63" s="34">
        <f>B63-H63</f>
        <v>0</v>
      </c>
      <c r="D63" s="532">
        <f>IF(G49&gt;0,G49*100,H49*100)</f>
        <v>4.24</v>
      </c>
      <c r="E63" s="35">
        <f>B63*D63/100/12*(13-A63)</f>
        <v>0</v>
      </c>
      <c r="F63" s="533">
        <f>IF(D63=0,0,100*(-PMT((D63/100),25,100000,0,0)/100000-(D63/100)))</f>
        <v>2.324599729309187</v>
      </c>
      <c r="G63" s="35">
        <f>(D63+F63)/100*B63/12*(13-A63)</f>
        <v>0</v>
      </c>
      <c r="H63" s="36">
        <f>G63-E63</f>
        <v>0</v>
      </c>
    </row>
    <row r="64" spans="1:8" s="283" customFormat="1" ht="19.5" customHeight="1" thickBot="1">
      <c r="A64" s="37">
        <v>1</v>
      </c>
      <c r="B64" s="38"/>
      <c r="C64" s="39"/>
      <c r="D64" s="1324">
        <f>B63*D63/100</f>
        <v>0</v>
      </c>
      <c r="E64" s="1325"/>
      <c r="F64" s="1326"/>
      <c r="G64" s="38"/>
      <c r="H64" s="40"/>
    </row>
    <row r="65" spans="1:8" s="283" customFormat="1" ht="19.5" customHeight="1" thickTop="1">
      <c r="A65" s="41">
        <f aca="true" t="shared" si="0" ref="A65:A88">A64+1</f>
        <v>2</v>
      </c>
      <c r="B65" s="35">
        <f>C63</f>
        <v>0</v>
      </c>
      <c r="C65" s="34">
        <f>IF(C63=0,0,B65-H65)</f>
        <v>0</v>
      </c>
      <c r="D65" s="534">
        <f>D63</f>
        <v>4.24</v>
      </c>
      <c r="E65" s="35">
        <f aca="true" t="shared" si="1" ref="E65:E90">B65*D65/100</f>
        <v>0</v>
      </c>
      <c r="F65" s="535">
        <f>F63</f>
        <v>2.324599729309187</v>
      </c>
      <c r="G65" s="35">
        <f aca="true" t="shared" si="2" ref="G65:G87">IF(E65=0,0,E65+H65)</f>
        <v>0</v>
      </c>
      <c r="H65" s="42">
        <f>IF(H63=0,0,IF(H63&gt;B65,B65,($B$63*(D65+F65)/100)-E65))</f>
        <v>0</v>
      </c>
    </row>
    <row r="66" spans="1:8" s="283" customFormat="1" ht="19.5" customHeight="1">
      <c r="A66" s="41">
        <f t="shared" si="0"/>
        <v>3</v>
      </c>
      <c r="B66" s="35">
        <f aca="true" t="shared" si="3" ref="B66:B90">C65</f>
        <v>0</v>
      </c>
      <c r="C66" s="34">
        <f aca="true" t="shared" si="4" ref="C66:C90">IF(C65=0,0,B66-H66)</f>
        <v>0</v>
      </c>
      <c r="D66" s="534">
        <f aca="true" t="shared" si="5" ref="D66:D87">D65</f>
        <v>4.24</v>
      </c>
      <c r="E66" s="35">
        <f t="shared" si="1"/>
        <v>0</v>
      </c>
      <c r="F66" s="535">
        <f aca="true" t="shared" si="6" ref="F66:F87">F65</f>
        <v>2.324599729309187</v>
      </c>
      <c r="G66" s="35">
        <f t="shared" si="2"/>
        <v>0</v>
      </c>
      <c r="H66" s="42">
        <f>IF(H65=0,0,IF(H65&gt;B66,B66,($B$63*(D66+F66)/100)-E66))</f>
        <v>0</v>
      </c>
    </row>
    <row r="67" spans="1:8" s="283" customFormat="1" ht="19.5" customHeight="1">
      <c r="A67" s="41">
        <f t="shared" si="0"/>
        <v>4</v>
      </c>
      <c r="B67" s="35">
        <f t="shared" si="3"/>
        <v>0</v>
      </c>
      <c r="C67" s="34">
        <f t="shared" si="4"/>
        <v>0</v>
      </c>
      <c r="D67" s="534">
        <f t="shared" si="5"/>
        <v>4.24</v>
      </c>
      <c r="E67" s="35">
        <f t="shared" si="1"/>
        <v>0</v>
      </c>
      <c r="F67" s="535">
        <f t="shared" si="6"/>
        <v>2.324599729309187</v>
      </c>
      <c r="G67" s="35">
        <f t="shared" si="2"/>
        <v>0</v>
      </c>
      <c r="H67" s="42">
        <f>IF(H65=0,0,IF(H65&gt;B67,B67,($B$63*(D67+F67)/100)-E67))</f>
        <v>0</v>
      </c>
    </row>
    <row r="68" spans="1:8" s="283" customFormat="1" ht="19.5" customHeight="1">
      <c r="A68" s="41">
        <f t="shared" si="0"/>
        <v>5</v>
      </c>
      <c r="B68" s="35">
        <f t="shared" si="3"/>
        <v>0</v>
      </c>
      <c r="C68" s="34">
        <f t="shared" si="4"/>
        <v>0</v>
      </c>
      <c r="D68" s="534">
        <f t="shared" si="5"/>
        <v>4.24</v>
      </c>
      <c r="E68" s="35">
        <f t="shared" si="1"/>
        <v>0</v>
      </c>
      <c r="F68" s="535">
        <f t="shared" si="6"/>
        <v>2.324599729309187</v>
      </c>
      <c r="G68" s="35">
        <f t="shared" si="2"/>
        <v>0</v>
      </c>
      <c r="H68" s="42">
        <f>IF(H67=0,0,IF(H67&gt;B68,B68,($B$63*(D68+F68)/100)-E68))</f>
        <v>0</v>
      </c>
    </row>
    <row r="69" spans="1:8" s="283" customFormat="1" ht="19.5" customHeight="1">
      <c r="A69" s="41">
        <f t="shared" si="0"/>
        <v>6</v>
      </c>
      <c r="B69" s="35">
        <f t="shared" si="3"/>
        <v>0</v>
      </c>
      <c r="C69" s="34">
        <f t="shared" si="4"/>
        <v>0</v>
      </c>
      <c r="D69" s="534">
        <f t="shared" si="5"/>
        <v>4.24</v>
      </c>
      <c r="E69" s="35">
        <f t="shared" si="1"/>
        <v>0</v>
      </c>
      <c r="F69" s="535">
        <f t="shared" si="6"/>
        <v>2.324599729309187</v>
      </c>
      <c r="G69" s="35">
        <f t="shared" si="2"/>
        <v>0</v>
      </c>
      <c r="H69" s="42">
        <f>IF(H67=0,0,IF(H67&gt;B69,B69,($B$63*(D69+F69)/100)-E69))</f>
        <v>0</v>
      </c>
    </row>
    <row r="70" spans="1:8" s="283" customFormat="1" ht="19.5" customHeight="1">
      <c r="A70" s="41">
        <f t="shared" si="0"/>
        <v>7</v>
      </c>
      <c r="B70" s="35">
        <f t="shared" si="3"/>
        <v>0</v>
      </c>
      <c r="C70" s="34">
        <f t="shared" si="4"/>
        <v>0</v>
      </c>
      <c r="D70" s="534">
        <f t="shared" si="5"/>
        <v>4.24</v>
      </c>
      <c r="E70" s="35">
        <f t="shared" si="1"/>
        <v>0</v>
      </c>
      <c r="F70" s="535">
        <f t="shared" si="6"/>
        <v>2.324599729309187</v>
      </c>
      <c r="G70" s="35">
        <f t="shared" si="2"/>
        <v>0</v>
      </c>
      <c r="H70" s="42">
        <f>IF(H69=0,0,IF(H69&gt;B70,B70,($B$63*(D70+F70)/100)-E70))</f>
        <v>0</v>
      </c>
    </row>
    <row r="71" spans="1:8" s="283" customFormat="1" ht="19.5" customHeight="1">
      <c r="A71" s="41">
        <f t="shared" si="0"/>
        <v>8</v>
      </c>
      <c r="B71" s="35">
        <f t="shared" si="3"/>
        <v>0</v>
      </c>
      <c r="C71" s="34">
        <f t="shared" si="4"/>
        <v>0</v>
      </c>
      <c r="D71" s="534">
        <f t="shared" si="5"/>
        <v>4.24</v>
      </c>
      <c r="E71" s="35">
        <f t="shared" si="1"/>
        <v>0</v>
      </c>
      <c r="F71" s="535">
        <f t="shared" si="6"/>
        <v>2.324599729309187</v>
      </c>
      <c r="G71" s="35">
        <f t="shared" si="2"/>
        <v>0</v>
      </c>
      <c r="H71" s="42">
        <f>IF(H69=0,0,IF(H69&gt;B71,B71,($B$63*(D71+F71)/100)-E71))</f>
        <v>0</v>
      </c>
    </row>
    <row r="72" spans="1:8" s="283" customFormat="1" ht="19.5" customHeight="1">
      <c r="A72" s="41">
        <f t="shared" si="0"/>
        <v>9</v>
      </c>
      <c r="B72" s="35">
        <f t="shared" si="3"/>
        <v>0</v>
      </c>
      <c r="C72" s="34">
        <f t="shared" si="4"/>
        <v>0</v>
      </c>
      <c r="D72" s="534">
        <f t="shared" si="5"/>
        <v>4.24</v>
      </c>
      <c r="E72" s="35">
        <f t="shared" si="1"/>
        <v>0</v>
      </c>
      <c r="F72" s="535">
        <f t="shared" si="6"/>
        <v>2.324599729309187</v>
      </c>
      <c r="G72" s="35">
        <f t="shared" si="2"/>
        <v>0</v>
      </c>
      <c r="H72" s="42">
        <f>IF(H71=0,0,IF(H71&gt;B72,B72,($B$63*(D72+F72)/100)-E72))</f>
        <v>0</v>
      </c>
    </row>
    <row r="73" spans="1:8" s="283" customFormat="1" ht="19.5" customHeight="1">
      <c r="A73" s="41">
        <f t="shared" si="0"/>
        <v>10</v>
      </c>
      <c r="B73" s="35">
        <f t="shared" si="3"/>
        <v>0</v>
      </c>
      <c r="C73" s="34">
        <f t="shared" si="4"/>
        <v>0</v>
      </c>
      <c r="D73" s="534">
        <f t="shared" si="5"/>
        <v>4.24</v>
      </c>
      <c r="E73" s="35">
        <f t="shared" si="1"/>
        <v>0</v>
      </c>
      <c r="F73" s="535">
        <f t="shared" si="6"/>
        <v>2.324599729309187</v>
      </c>
      <c r="G73" s="35">
        <f t="shared" si="2"/>
        <v>0</v>
      </c>
      <c r="H73" s="42">
        <f>IF(H71=0,0,IF(H71&gt;B73,B73,($B$63*(D73+F73)/100)-E73))</f>
        <v>0</v>
      </c>
    </row>
    <row r="74" spans="1:8" s="283" customFormat="1" ht="19.5" customHeight="1">
      <c r="A74" s="41">
        <f t="shared" si="0"/>
        <v>11</v>
      </c>
      <c r="B74" s="35">
        <f t="shared" si="3"/>
        <v>0</v>
      </c>
      <c r="C74" s="34">
        <f t="shared" si="4"/>
        <v>0</v>
      </c>
      <c r="D74" s="534">
        <f t="shared" si="5"/>
        <v>4.24</v>
      </c>
      <c r="E74" s="35">
        <f t="shared" si="1"/>
        <v>0</v>
      </c>
      <c r="F74" s="535">
        <f t="shared" si="6"/>
        <v>2.324599729309187</v>
      </c>
      <c r="G74" s="35">
        <f t="shared" si="2"/>
        <v>0</v>
      </c>
      <c r="H74" s="42">
        <f>IF(H73=0,0,IF(H73&gt;B74,B74,($B$63*(D74+F74)/100)-E74))</f>
        <v>0</v>
      </c>
    </row>
    <row r="75" spans="1:8" s="283" customFormat="1" ht="19.5" customHeight="1">
      <c r="A75" s="41">
        <f t="shared" si="0"/>
        <v>12</v>
      </c>
      <c r="B75" s="35">
        <f t="shared" si="3"/>
        <v>0</v>
      </c>
      <c r="C75" s="34">
        <f t="shared" si="4"/>
        <v>0</v>
      </c>
      <c r="D75" s="534">
        <f t="shared" si="5"/>
        <v>4.24</v>
      </c>
      <c r="E75" s="35">
        <f t="shared" si="1"/>
        <v>0</v>
      </c>
      <c r="F75" s="535">
        <f t="shared" si="6"/>
        <v>2.324599729309187</v>
      </c>
      <c r="G75" s="35">
        <f t="shared" si="2"/>
        <v>0</v>
      </c>
      <c r="H75" s="42">
        <f>IF(H73=0,0,IF(H73&gt;B75,B75,($B$63*(D75+F75)/100)-E75))</f>
        <v>0</v>
      </c>
    </row>
    <row r="76" spans="1:8" s="283" customFormat="1" ht="19.5" customHeight="1">
      <c r="A76" s="41">
        <f t="shared" si="0"/>
        <v>13</v>
      </c>
      <c r="B76" s="35">
        <f t="shared" si="3"/>
        <v>0</v>
      </c>
      <c r="C76" s="34">
        <f t="shared" si="4"/>
        <v>0</v>
      </c>
      <c r="D76" s="534">
        <f t="shared" si="5"/>
        <v>4.24</v>
      </c>
      <c r="E76" s="35">
        <f t="shared" si="1"/>
        <v>0</v>
      </c>
      <c r="F76" s="535">
        <f t="shared" si="6"/>
        <v>2.324599729309187</v>
      </c>
      <c r="G76" s="35">
        <f t="shared" si="2"/>
        <v>0</v>
      </c>
      <c r="H76" s="42">
        <f>IF(H75=0,0,IF(H75&gt;B76,B76,($B$63*(D76+F76)/100)-E76))</f>
        <v>0</v>
      </c>
    </row>
    <row r="77" spans="1:8" s="283" customFormat="1" ht="19.5" customHeight="1">
      <c r="A77" s="41">
        <f t="shared" si="0"/>
        <v>14</v>
      </c>
      <c r="B77" s="35">
        <f t="shared" si="3"/>
        <v>0</v>
      </c>
      <c r="C77" s="34">
        <f t="shared" si="4"/>
        <v>0</v>
      </c>
      <c r="D77" s="534">
        <f t="shared" si="5"/>
        <v>4.24</v>
      </c>
      <c r="E77" s="35">
        <f t="shared" si="1"/>
        <v>0</v>
      </c>
      <c r="F77" s="535">
        <f t="shared" si="6"/>
        <v>2.324599729309187</v>
      </c>
      <c r="G77" s="35">
        <f t="shared" si="2"/>
        <v>0</v>
      </c>
      <c r="H77" s="42">
        <f>IF(H75=0,0,IF(H75&gt;B77,B77,($B$63*(D77+F77)/100)-E77))</f>
        <v>0</v>
      </c>
    </row>
    <row r="78" spans="1:8" s="283" customFormat="1" ht="19.5" customHeight="1">
      <c r="A78" s="41">
        <f t="shared" si="0"/>
        <v>15</v>
      </c>
      <c r="B78" s="35">
        <f t="shared" si="3"/>
        <v>0</v>
      </c>
      <c r="C78" s="34">
        <f t="shared" si="4"/>
        <v>0</v>
      </c>
      <c r="D78" s="534">
        <f t="shared" si="5"/>
        <v>4.24</v>
      </c>
      <c r="E78" s="35">
        <f t="shared" si="1"/>
        <v>0</v>
      </c>
      <c r="F78" s="535">
        <f t="shared" si="6"/>
        <v>2.324599729309187</v>
      </c>
      <c r="G78" s="35">
        <f t="shared" si="2"/>
        <v>0</v>
      </c>
      <c r="H78" s="42">
        <f>IF(H77=0,0,IF(H77&gt;B78,B78,($B$63*(D78+F78)/100)-E78))</f>
        <v>0</v>
      </c>
    </row>
    <row r="79" spans="1:8" s="283" customFormat="1" ht="19.5" customHeight="1">
      <c r="A79" s="41">
        <f t="shared" si="0"/>
        <v>16</v>
      </c>
      <c r="B79" s="35">
        <f t="shared" si="3"/>
        <v>0</v>
      </c>
      <c r="C79" s="34">
        <f t="shared" si="4"/>
        <v>0</v>
      </c>
      <c r="D79" s="534">
        <f t="shared" si="5"/>
        <v>4.24</v>
      </c>
      <c r="E79" s="35">
        <f t="shared" si="1"/>
        <v>0</v>
      </c>
      <c r="F79" s="535">
        <f t="shared" si="6"/>
        <v>2.324599729309187</v>
      </c>
      <c r="G79" s="35">
        <f t="shared" si="2"/>
        <v>0</v>
      </c>
      <c r="H79" s="42">
        <f>IF(H77=0,0,IF(H77&gt;B79,B79,($B$63*(D79+F79)/100)-E79))</f>
        <v>0</v>
      </c>
    </row>
    <row r="80" spans="1:8" s="283" customFormat="1" ht="19.5" customHeight="1">
      <c r="A80" s="41">
        <f>A79+1</f>
        <v>17</v>
      </c>
      <c r="B80" s="35">
        <f>C79</f>
        <v>0</v>
      </c>
      <c r="C80" s="34">
        <f t="shared" si="4"/>
        <v>0</v>
      </c>
      <c r="D80" s="534">
        <f>D79</f>
        <v>4.24</v>
      </c>
      <c r="E80" s="35">
        <f t="shared" si="1"/>
        <v>0</v>
      </c>
      <c r="F80" s="535">
        <f>F79</f>
        <v>2.324599729309187</v>
      </c>
      <c r="G80" s="35">
        <f>IF(E80=0,0,E80+H80)</f>
        <v>0</v>
      </c>
      <c r="H80" s="42">
        <f>IF(H79=0,0,IF(H79&gt;B80,B80,($B$63*(D80+F80)/100)-E80))</f>
        <v>0</v>
      </c>
    </row>
    <row r="81" spans="1:8" s="283" customFormat="1" ht="19.5" customHeight="1">
      <c r="A81" s="41">
        <f>A80+1</f>
        <v>18</v>
      </c>
      <c r="B81" s="35">
        <f>C80</f>
        <v>0</v>
      </c>
      <c r="C81" s="34">
        <f t="shared" si="4"/>
        <v>0</v>
      </c>
      <c r="D81" s="534">
        <f>D80</f>
        <v>4.24</v>
      </c>
      <c r="E81" s="35">
        <f t="shared" si="1"/>
        <v>0</v>
      </c>
      <c r="F81" s="535">
        <f>F80</f>
        <v>2.324599729309187</v>
      </c>
      <c r="G81" s="35">
        <f>IF(E81=0,0,E81+H81)</f>
        <v>0</v>
      </c>
      <c r="H81" s="42">
        <f>IF(H79=0,0,IF(H79&gt;B81,B81,($B$63*(D81+F81)/100)-E81))</f>
        <v>0</v>
      </c>
    </row>
    <row r="82" spans="1:8" s="283" customFormat="1" ht="19.5" customHeight="1">
      <c r="A82" s="41">
        <f t="shared" si="0"/>
        <v>19</v>
      </c>
      <c r="B82" s="35">
        <f t="shared" si="3"/>
        <v>0</v>
      </c>
      <c r="C82" s="34">
        <f t="shared" si="4"/>
        <v>0</v>
      </c>
      <c r="D82" s="534">
        <f t="shared" si="5"/>
        <v>4.24</v>
      </c>
      <c r="E82" s="35">
        <f t="shared" si="1"/>
        <v>0</v>
      </c>
      <c r="F82" s="535">
        <f t="shared" si="6"/>
        <v>2.324599729309187</v>
      </c>
      <c r="G82" s="35">
        <f t="shared" si="2"/>
        <v>0</v>
      </c>
      <c r="H82" s="42">
        <f>IF(H81=0,0,IF(H81&gt;B82,B82,($B$63*(D82+F82)/100)-E82))</f>
        <v>0</v>
      </c>
    </row>
    <row r="83" spans="1:8" s="283" customFormat="1" ht="19.5" customHeight="1">
      <c r="A83" s="41">
        <f t="shared" si="0"/>
        <v>20</v>
      </c>
      <c r="B83" s="35">
        <f t="shared" si="3"/>
        <v>0</v>
      </c>
      <c r="C83" s="34">
        <f t="shared" si="4"/>
        <v>0</v>
      </c>
      <c r="D83" s="534">
        <f t="shared" si="5"/>
        <v>4.24</v>
      </c>
      <c r="E83" s="35">
        <f t="shared" si="1"/>
        <v>0</v>
      </c>
      <c r="F83" s="535">
        <f t="shared" si="6"/>
        <v>2.324599729309187</v>
      </c>
      <c r="G83" s="35">
        <f t="shared" si="2"/>
        <v>0</v>
      </c>
      <c r="H83" s="42">
        <f>IF(H81=0,0,IF(H81&gt;B83,B83,($B$63*(D83+F83)/100)-E83))</f>
        <v>0</v>
      </c>
    </row>
    <row r="84" spans="1:8" s="283" customFormat="1" ht="19.5" customHeight="1">
      <c r="A84" s="41">
        <f t="shared" si="0"/>
        <v>21</v>
      </c>
      <c r="B84" s="35">
        <f t="shared" si="3"/>
        <v>0</v>
      </c>
      <c r="C84" s="34">
        <f t="shared" si="4"/>
        <v>0</v>
      </c>
      <c r="D84" s="534">
        <f t="shared" si="5"/>
        <v>4.24</v>
      </c>
      <c r="E84" s="35">
        <f t="shared" si="1"/>
        <v>0</v>
      </c>
      <c r="F84" s="535">
        <f t="shared" si="6"/>
        <v>2.324599729309187</v>
      </c>
      <c r="G84" s="35">
        <f t="shared" si="2"/>
        <v>0</v>
      </c>
      <c r="H84" s="42">
        <f>IF(H83=0,0,IF(H83&gt;B84,B84,($B$63*(D84+F84)/100)-E84))</f>
        <v>0</v>
      </c>
    </row>
    <row r="85" spans="1:8" s="283" customFormat="1" ht="19.5" customHeight="1">
      <c r="A85" s="41">
        <f t="shared" si="0"/>
        <v>22</v>
      </c>
      <c r="B85" s="35">
        <f t="shared" si="3"/>
        <v>0</v>
      </c>
      <c r="C85" s="34">
        <f t="shared" si="4"/>
        <v>0</v>
      </c>
      <c r="D85" s="534">
        <f t="shared" si="5"/>
        <v>4.24</v>
      </c>
      <c r="E85" s="35">
        <f t="shared" si="1"/>
        <v>0</v>
      </c>
      <c r="F85" s="535">
        <f t="shared" si="6"/>
        <v>2.324599729309187</v>
      </c>
      <c r="G85" s="35">
        <f t="shared" si="2"/>
        <v>0</v>
      </c>
      <c r="H85" s="42">
        <f>IF(H83=0,0,IF(H83&gt;B85,B85,($B$63*(D85+F85)/100)-E85))</f>
        <v>0</v>
      </c>
    </row>
    <row r="86" spans="1:8" s="283" customFormat="1" ht="19.5" customHeight="1">
      <c r="A86" s="41">
        <f t="shared" si="0"/>
        <v>23</v>
      </c>
      <c r="B86" s="35">
        <f t="shared" si="3"/>
        <v>0</v>
      </c>
      <c r="C86" s="34">
        <f t="shared" si="4"/>
        <v>0</v>
      </c>
      <c r="D86" s="534">
        <f t="shared" si="5"/>
        <v>4.24</v>
      </c>
      <c r="E86" s="35">
        <f t="shared" si="1"/>
        <v>0</v>
      </c>
      <c r="F86" s="535">
        <f t="shared" si="6"/>
        <v>2.324599729309187</v>
      </c>
      <c r="G86" s="35">
        <f t="shared" si="2"/>
        <v>0</v>
      </c>
      <c r="H86" s="42">
        <f>IF(H85=0,0,IF(H85&gt;B86,B86,($B$63*(D86+F86)/100)-E86))</f>
        <v>0</v>
      </c>
    </row>
    <row r="87" spans="1:8" s="283" customFormat="1" ht="19.5" customHeight="1">
      <c r="A87" s="41">
        <f t="shared" si="0"/>
        <v>24</v>
      </c>
      <c r="B87" s="35">
        <f t="shared" si="3"/>
        <v>0</v>
      </c>
      <c r="C87" s="34">
        <f t="shared" si="4"/>
        <v>0</v>
      </c>
      <c r="D87" s="534">
        <f t="shared" si="5"/>
        <v>4.24</v>
      </c>
      <c r="E87" s="35">
        <f t="shared" si="1"/>
        <v>0</v>
      </c>
      <c r="F87" s="535">
        <f t="shared" si="6"/>
        <v>2.324599729309187</v>
      </c>
      <c r="G87" s="35">
        <f t="shared" si="2"/>
        <v>0</v>
      </c>
      <c r="H87" s="42">
        <f>IF(H85=0,0,IF(H85&gt;B87,B87,($B$63*(D87+F87)/100)-E87))</f>
        <v>0</v>
      </c>
    </row>
    <row r="88" spans="1:8" s="283" customFormat="1" ht="19.5" customHeight="1">
      <c r="A88" s="41">
        <f t="shared" si="0"/>
        <v>25</v>
      </c>
      <c r="B88" s="35">
        <f t="shared" si="3"/>
        <v>0</v>
      </c>
      <c r="C88" s="34">
        <f t="shared" si="4"/>
        <v>0</v>
      </c>
      <c r="D88" s="534">
        <f>D87</f>
        <v>4.24</v>
      </c>
      <c r="E88" s="35">
        <f t="shared" si="1"/>
        <v>0</v>
      </c>
      <c r="F88" s="535">
        <f>F87</f>
        <v>2.324599729309187</v>
      </c>
      <c r="G88" s="35">
        <f>IF(E88=0,0,E88+H88)</f>
        <v>0</v>
      </c>
      <c r="H88" s="42">
        <f>IF(H87=0,0,IF(H87&gt;B88,B88,($B$63*(D88+F88)/100)-E88))</f>
        <v>0</v>
      </c>
    </row>
    <row r="89" spans="1:8" s="283" customFormat="1" ht="19.5" customHeight="1">
      <c r="A89" s="41">
        <f>A88+1</f>
        <v>26</v>
      </c>
      <c r="B89" s="43">
        <f t="shared" si="3"/>
        <v>0</v>
      </c>
      <c r="C89" s="34">
        <f t="shared" si="4"/>
        <v>0</v>
      </c>
      <c r="D89" s="534">
        <f>D88</f>
        <v>4.24</v>
      </c>
      <c r="E89" s="35">
        <f t="shared" si="1"/>
        <v>0</v>
      </c>
      <c r="F89" s="535">
        <f>F88</f>
        <v>2.324599729309187</v>
      </c>
      <c r="G89" s="35">
        <f>IF(E89=0,0,E89+H89)</f>
        <v>0</v>
      </c>
      <c r="H89" s="42">
        <f>IF(H87=0,0,IF(H87&gt;B89,B89,($B$63*(D89+F89)/100)-E89))</f>
        <v>0</v>
      </c>
    </row>
    <row r="90" spans="1:8" s="283" customFormat="1" ht="19.5" customHeight="1">
      <c r="A90" s="41">
        <f>A89+1</f>
        <v>27</v>
      </c>
      <c r="B90" s="35">
        <f t="shared" si="3"/>
        <v>0</v>
      </c>
      <c r="C90" s="34">
        <f t="shared" si="4"/>
        <v>0</v>
      </c>
      <c r="D90" s="534">
        <f>D89</f>
        <v>4.24</v>
      </c>
      <c r="E90" s="35">
        <f t="shared" si="1"/>
        <v>0</v>
      </c>
      <c r="F90" s="535">
        <f>F89</f>
        <v>2.324599729309187</v>
      </c>
      <c r="G90" s="35">
        <f>IF(E90=0,0,E90+H90)</f>
        <v>0</v>
      </c>
      <c r="H90" s="42">
        <f>IF(H89=0,0,IF(H89&gt;B90,B90,($B$63*(D90+F90)/100)-E90))</f>
        <v>0</v>
      </c>
    </row>
    <row r="91" spans="1:8" s="283" customFormat="1" ht="19.5" customHeight="1" thickBot="1">
      <c r="A91" s="44"/>
      <c r="B91" s="45"/>
      <c r="C91" s="46"/>
      <c r="D91" s="536"/>
      <c r="E91" s="45"/>
      <c r="F91" s="537"/>
      <c r="G91" s="45"/>
      <c r="H91" s="47"/>
    </row>
    <row r="92" spans="1:8" s="283" customFormat="1" ht="19.5" customHeight="1">
      <c r="A92" s="538"/>
      <c r="B92" s="538"/>
      <c r="C92" s="538"/>
      <c r="D92" s="538"/>
      <c r="E92" s="538"/>
      <c r="F92" s="538"/>
      <c r="G92" s="538"/>
      <c r="H92" s="538"/>
    </row>
    <row r="93" spans="1:8" s="283" customFormat="1" ht="19.5" customHeight="1">
      <c r="A93" s="538"/>
      <c r="B93" s="539" t="s">
        <v>109</v>
      </c>
      <c r="C93" s="342"/>
      <c r="D93" s="342"/>
      <c r="E93" s="1331">
        <f>SUM(E65:E92)+E63</f>
        <v>0</v>
      </c>
      <c r="F93" s="1332"/>
      <c r="G93" s="538"/>
      <c r="H93" s="538"/>
    </row>
    <row r="94" spans="1:8" ht="17.25">
      <c r="A94" s="540"/>
      <c r="B94" s="541"/>
      <c r="C94" s="541"/>
      <c r="D94" s="542" t="s">
        <v>105</v>
      </c>
      <c r="E94" s="1317">
        <f>E93/25</f>
        <v>0</v>
      </c>
      <c r="F94" s="1318"/>
      <c r="G94" s="543"/>
      <c r="H94" s="540"/>
    </row>
    <row r="95" spans="1:9" ht="12.75">
      <c r="A95" s="337"/>
      <c r="B95" s="543"/>
      <c r="C95" s="543"/>
      <c r="D95" s="543"/>
      <c r="E95" s="543"/>
      <c r="F95" s="543"/>
      <c r="G95" s="337"/>
      <c r="H95" s="543"/>
      <c r="I95" s="450"/>
    </row>
    <row r="96" spans="1:8" ht="12.75">
      <c r="A96" s="337"/>
      <c r="B96" s="340"/>
      <c r="C96" s="337"/>
      <c r="D96" s="337"/>
      <c r="E96" s="337"/>
      <c r="F96" s="337"/>
      <c r="G96" s="337"/>
      <c r="H96" s="337"/>
    </row>
    <row r="97" spans="1:8" ht="12.75">
      <c r="A97" s="337"/>
      <c r="B97" s="6" t="s">
        <v>70</v>
      </c>
      <c r="C97" s="7"/>
      <c r="D97" s="7"/>
      <c r="E97" s="7"/>
      <c r="F97" s="8"/>
      <c r="G97" s="337"/>
      <c r="H97" s="337"/>
    </row>
    <row r="98" spans="1:8" ht="13.5" thickBot="1">
      <c r="A98" s="337"/>
      <c r="B98" s="9" t="s">
        <v>73</v>
      </c>
      <c r="C98" s="10"/>
      <c r="D98" s="10"/>
      <c r="E98" s="10"/>
      <c r="F98" s="11"/>
      <c r="G98" s="337"/>
      <c r="H98" s="337"/>
    </row>
    <row r="99" spans="1:8" ht="13.5" thickBot="1">
      <c r="A99" s="675" t="s">
        <v>290</v>
      </c>
      <c r="B99" s="658"/>
      <c r="C99" s="12" t="s">
        <v>71</v>
      </c>
      <c r="D99" s="13" t="s">
        <v>72</v>
      </c>
      <c r="E99" s="544" t="s">
        <v>82</v>
      </c>
      <c r="F99" s="545" t="s">
        <v>83</v>
      </c>
      <c r="G99" s="660" t="s">
        <v>287</v>
      </c>
      <c r="H99" s="661" t="s">
        <v>288</v>
      </c>
    </row>
    <row r="100" spans="1:8" ht="12.75">
      <c r="A100" s="674">
        <f>IF(D100&gt;0,37377,0)</f>
        <v>37377</v>
      </c>
      <c r="B100" s="16" t="s">
        <v>76</v>
      </c>
      <c r="C100" s="14">
        <v>37834</v>
      </c>
      <c r="D100" s="15">
        <v>486.6</v>
      </c>
      <c r="E100" s="546">
        <v>1534</v>
      </c>
      <c r="F100" s="547">
        <v>1300</v>
      </c>
      <c r="G100" s="662">
        <f>IF(E100&gt;0,0,E99+G99)</f>
        <v>0</v>
      </c>
      <c r="H100" s="663">
        <f>IF(F100&gt;0,0,F99+H99)</f>
        <v>0</v>
      </c>
    </row>
    <row r="101" spans="1:8" ht="12.75">
      <c r="A101" s="674">
        <f aca="true" t="shared" si="7" ref="A101:A106">IF(D101&gt;0,C101-245,0)</f>
        <v>37742</v>
      </c>
      <c r="B101" s="17" t="s">
        <v>74</v>
      </c>
      <c r="C101" s="14">
        <v>37987</v>
      </c>
      <c r="D101" s="15">
        <v>486.1</v>
      </c>
      <c r="E101" s="548">
        <f aca="true" t="shared" si="8" ref="E101:E115">ROUND($E$100*(100%+(ROUND((D101-$D$100)/$D$100,4))),0)</f>
        <v>1532</v>
      </c>
      <c r="F101" s="549">
        <f aca="true" t="shared" si="9" ref="F101:F106">ROUND($F$100*(100%+(ROUND((D101-$D$100)/$D$100,4))),0)</f>
        <v>1299</v>
      </c>
      <c r="G101" s="659">
        <f>IF(E101&gt;0,0,E100+G100)</f>
        <v>0</v>
      </c>
      <c r="H101" s="664">
        <f aca="true" t="shared" si="10" ref="H101:H111">IF(F101&gt;0,0,F100+H100)</f>
        <v>0</v>
      </c>
    </row>
    <row r="102" spans="1:8" ht="12.75">
      <c r="A102" s="674">
        <f t="shared" si="7"/>
        <v>38108</v>
      </c>
      <c r="B102" s="16" t="s">
        <v>75</v>
      </c>
      <c r="C102" s="14">
        <v>38353</v>
      </c>
      <c r="D102" s="15">
        <v>491.9</v>
      </c>
      <c r="E102" s="550">
        <f t="shared" si="8"/>
        <v>1551</v>
      </c>
      <c r="F102" s="549">
        <f t="shared" si="9"/>
        <v>1314</v>
      </c>
      <c r="G102" s="659">
        <f>IF(E102&gt;0,0,E101+G101)</f>
        <v>0</v>
      </c>
      <c r="H102" s="664">
        <f t="shared" si="10"/>
        <v>0</v>
      </c>
    </row>
    <row r="103" spans="1:8" ht="12.75">
      <c r="A103" s="674">
        <f t="shared" si="7"/>
        <v>38473</v>
      </c>
      <c r="B103" s="17" t="s">
        <v>79</v>
      </c>
      <c r="C103" s="14">
        <v>38718</v>
      </c>
      <c r="D103" s="858">
        <f>'Anlg.3 Berechnung'!D132</f>
        <v>495.3</v>
      </c>
      <c r="E103" s="550">
        <f t="shared" si="8"/>
        <v>1561</v>
      </c>
      <c r="F103" s="549">
        <f t="shared" si="9"/>
        <v>1323</v>
      </c>
      <c r="G103" s="659">
        <f>IF(E103&gt;0,0,E102+G102)</f>
        <v>0</v>
      </c>
      <c r="H103" s="664">
        <f t="shared" si="10"/>
        <v>0</v>
      </c>
    </row>
    <row r="104" spans="1:8" ht="12.75">
      <c r="A104" s="674">
        <f t="shared" si="7"/>
        <v>38838</v>
      </c>
      <c r="B104" s="16" t="s">
        <v>77</v>
      </c>
      <c r="C104" s="14">
        <v>39083</v>
      </c>
      <c r="D104" s="859">
        <f>'Anlg.3 Berechnung'!D133</f>
        <v>502.6</v>
      </c>
      <c r="E104" s="550">
        <f t="shared" si="8"/>
        <v>1584</v>
      </c>
      <c r="F104" s="549">
        <f t="shared" si="9"/>
        <v>1343</v>
      </c>
      <c r="G104" s="659">
        <f aca="true" t="shared" si="11" ref="G104:G111">IF(E104&gt;0,0,E103+G103)</f>
        <v>0</v>
      </c>
      <c r="H104" s="664">
        <f t="shared" si="10"/>
        <v>0</v>
      </c>
    </row>
    <row r="105" spans="1:8" ht="12.75">
      <c r="A105" s="674">
        <f t="shared" si="7"/>
        <v>39203</v>
      </c>
      <c r="B105" s="17" t="s">
        <v>80</v>
      </c>
      <c r="C105" s="14">
        <v>39448</v>
      </c>
      <c r="D105" s="859">
        <f>'Anlg.3 Berechnung'!D134</f>
        <v>540.9</v>
      </c>
      <c r="E105" s="550">
        <f t="shared" si="8"/>
        <v>1705</v>
      </c>
      <c r="F105" s="549">
        <f t="shared" si="9"/>
        <v>1445</v>
      </c>
      <c r="G105" s="659">
        <f t="shared" si="11"/>
        <v>0</v>
      </c>
      <c r="H105" s="664">
        <f t="shared" si="10"/>
        <v>0</v>
      </c>
    </row>
    <row r="106" spans="1:8" ht="12.75">
      <c r="A106" s="674">
        <f t="shared" si="7"/>
        <v>39569</v>
      </c>
      <c r="B106" s="16" t="s">
        <v>78</v>
      </c>
      <c r="C106" s="14">
        <v>39814</v>
      </c>
      <c r="D106" s="859">
        <f>'Anlg.3 Berechnung'!D135</f>
        <v>550.3</v>
      </c>
      <c r="E106" s="550">
        <f t="shared" si="8"/>
        <v>1735</v>
      </c>
      <c r="F106" s="549">
        <f t="shared" si="9"/>
        <v>1470</v>
      </c>
      <c r="G106" s="659">
        <f t="shared" si="11"/>
        <v>0</v>
      </c>
      <c r="H106" s="664">
        <f t="shared" si="10"/>
        <v>0</v>
      </c>
    </row>
    <row r="107" spans="1:8" ht="12.75">
      <c r="A107" s="674">
        <f aca="true" t="shared" si="12" ref="A107:A115">IF(D107&gt;0,C107-245,0)</f>
        <v>39934</v>
      </c>
      <c r="B107" s="17" t="s">
        <v>81</v>
      </c>
      <c r="C107" s="14">
        <v>40179</v>
      </c>
      <c r="D107" s="859">
        <f>'Anlg.3 Berechnung'!D136</f>
        <v>552.8</v>
      </c>
      <c r="E107" s="550">
        <f t="shared" si="8"/>
        <v>1743</v>
      </c>
      <c r="F107" s="549">
        <f aca="true" t="shared" si="13" ref="F107:F115">ROUND($F$100*(100%+(ROUND((D107-$D$100)/$D$100,4))),0)</f>
        <v>1477</v>
      </c>
      <c r="G107" s="659">
        <f t="shared" si="11"/>
        <v>0</v>
      </c>
      <c r="H107" s="664">
        <f t="shared" si="10"/>
        <v>0</v>
      </c>
    </row>
    <row r="108" spans="1:8" ht="12.75">
      <c r="A108" s="674">
        <f t="shared" si="12"/>
        <v>40299</v>
      </c>
      <c r="B108" s="16" t="s">
        <v>264</v>
      </c>
      <c r="C108" s="14">
        <v>40544</v>
      </c>
      <c r="D108" s="859">
        <f>'Anlg.3 Berechnung'!D137</f>
        <v>561.2</v>
      </c>
      <c r="E108" s="550">
        <f t="shared" si="8"/>
        <v>1769</v>
      </c>
      <c r="F108" s="549">
        <f>ROUND($F$100*(100%+(ROUND((D108-$D$100)/$D$100,4))),0)</f>
        <v>1499</v>
      </c>
      <c r="G108" s="659">
        <f t="shared" si="11"/>
        <v>0</v>
      </c>
      <c r="H108" s="664">
        <f t="shared" si="10"/>
        <v>0</v>
      </c>
    </row>
    <row r="109" spans="1:8" ht="12.75">
      <c r="A109" s="674">
        <f t="shared" si="12"/>
        <v>40664</v>
      </c>
      <c r="B109" s="17" t="s">
        <v>265</v>
      </c>
      <c r="C109" s="14">
        <v>40909</v>
      </c>
      <c r="D109" s="859">
        <f>'Anlg.3 Berechnung'!D138</f>
        <v>575.1</v>
      </c>
      <c r="E109" s="550">
        <f t="shared" si="8"/>
        <v>1813</v>
      </c>
      <c r="F109" s="549">
        <f t="shared" si="13"/>
        <v>1536</v>
      </c>
      <c r="G109" s="659">
        <f t="shared" si="11"/>
        <v>0</v>
      </c>
      <c r="H109" s="664">
        <f t="shared" si="10"/>
        <v>0</v>
      </c>
    </row>
    <row r="110" spans="1:8" ht="12.75">
      <c r="A110" s="674">
        <f t="shared" si="12"/>
        <v>41030</v>
      </c>
      <c r="B110" s="16" t="s">
        <v>266</v>
      </c>
      <c r="C110" s="14">
        <v>41275</v>
      </c>
      <c r="D110" s="859">
        <f>'Anlg.3 Berechnung'!D139</f>
        <v>589</v>
      </c>
      <c r="E110" s="550">
        <f t="shared" si="8"/>
        <v>1857</v>
      </c>
      <c r="F110" s="549">
        <f t="shared" si="13"/>
        <v>1574</v>
      </c>
      <c r="G110" s="659">
        <f t="shared" si="11"/>
        <v>0</v>
      </c>
      <c r="H110" s="664">
        <f t="shared" si="10"/>
        <v>0</v>
      </c>
    </row>
    <row r="111" spans="1:8" ht="12.75">
      <c r="A111" s="674">
        <f t="shared" si="12"/>
        <v>41395</v>
      </c>
      <c r="B111" s="17" t="s">
        <v>267</v>
      </c>
      <c r="C111" s="14">
        <v>41640</v>
      </c>
      <c r="D111" s="859">
        <f>'Anlg.3 Berechnung'!D140</f>
        <v>598.4</v>
      </c>
      <c r="E111" s="550">
        <f t="shared" si="8"/>
        <v>1887</v>
      </c>
      <c r="F111" s="549">
        <f t="shared" si="13"/>
        <v>1599</v>
      </c>
      <c r="G111" s="659">
        <f t="shared" si="11"/>
        <v>0</v>
      </c>
      <c r="H111" s="664">
        <f t="shared" si="10"/>
        <v>0</v>
      </c>
    </row>
    <row r="112" spans="1:8" ht="12.75">
      <c r="A112" s="674">
        <f t="shared" si="12"/>
        <v>0</v>
      </c>
      <c r="B112" s="16" t="s">
        <v>268</v>
      </c>
      <c r="C112" s="14">
        <v>42005</v>
      </c>
      <c r="D112" s="859">
        <f>'Anlg.3 Berechnung'!D141</f>
        <v>0</v>
      </c>
      <c r="E112" s="550">
        <f t="shared" si="8"/>
        <v>0</v>
      </c>
      <c r="F112" s="549">
        <f t="shared" si="13"/>
        <v>0</v>
      </c>
      <c r="G112" s="659">
        <f aca="true" t="shared" si="14" ref="G112:H115">IF(E112&gt;0,0,E111+G111)</f>
        <v>1887</v>
      </c>
      <c r="H112" s="664">
        <f t="shared" si="14"/>
        <v>1599</v>
      </c>
    </row>
    <row r="113" spans="1:8" ht="12.75">
      <c r="A113" s="674">
        <f t="shared" si="12"/>
        <v>0</v>
      </c>
      <c r="B113" s="17" t="s">
        <v>405</v>
      </c>
      <c r="C113" s="14">
        <v>42370</v>
      </c>
      <c r="D113" s="859">
        <f>'Anlg.3 Berechnung'!D142</f>
        <v>0</v>
      </c>
      <c r="E113" s="550">
        <f t="shared" si="8"/>
        <v>0</v>
      </c>
      <c r="F113" s="549">
        <f t="shared" si="13"/>
        <v>0</v>
      </c>
      <c r="G113" s="659">
        <f t="shared" si="14"/>
        <v>1887</v>
      </c>
      <c r="H113" s="664">
        <f t="shared" si="14"/>
        <v>1599</v>
      </c>
    </row>
    <row r="114" spans="1:8" ht="12.75">
      <c r="A114" s="674">
        <f t="shared" si="12"/>
        <v>0</v>
      </c>
      <c r="B114" s="16" t="s">
        <v>406</v>
      </c>
      <c r="C114" s="14">
        <v>42736</v>
      </c>
      <c r="D114" s="859">
        <f>'Anlg.3 Berechnung'!D143</f>
        <v>0</v>
      </c>
      <c r="E114" s="550">
        <f t="shared" si="8"/>
        <v>0</v>
      </c>
      <c r="F114" s="549">
        <f t="shared" si="13"/>
        <v>0</v>
      </c>
      <c r="G114" s="659">
        <f t="shared" si="14"/>
        <v>1887</v>
      </c>
      <c r="H114" s="664">
        <f t="shared" si="14"/>
        <v>1599</v>
      </c>
    </row>
    <row r="115" spans="1:8" ht="13.5" thickBot="1">
      <c r="A115" s="674">
        <f t="shared" si="12"/>
        <v>0</v>
      </c>
      <c r="B115" s="860" t="s">
        <v>407</v>
      </c>
      <c r="C115" s="18">
        <v>43101</v>
      </c>
      <c r="D115" s="861">
        <f>'Anlg.3 Berechnung'!D144</f>
        <v>0</v>
      </c>
      <c r="E115" s="551">
        <f t="shared" si="8"/>
        <v>0</v>
      </c>
      <c r="F115" s="552">
        <f t="shared" si="13"/>
        <v>0</v>
      </c>
      <c r="G115" s="665">
        <f t="shared" si="14"/>
        <v>1887</v>
      </c>
      <c r="H115" s="666">
        <f t="shared" si="14"/>
        <v>1599</v>
      </c>
    </row>
    <row r="117" ht="13.5" thickBot="1"/>
    <row r="118" spans="1:8" ht="25.5" customHeight="1" thickBot="1">
      <c r="A118" s="337"/>
      <c r="B118" s="553" t="s">
        <v>110</v>
      </c>
      <c r="C118" s="554"/>
      <c r="D118" s="668" t="s">
        <v>289</v>
      </c>
      <c r="G118" s="337"/>
      <c r="H118" s="337"/>
    </row>
    <row r="119" spans="1:8" ht="12.75" customHeight="1">
      <c r="A119" s="454">
        <f>IF(C119&gt;0,B119,0)</f>
        <v>37834</v>
      </c>
      <c r="B119" s="14">
        <v>37834</v>
      </c>
      <c r="C119" s="48">
        <v>0.0701</v>
      </c>
      <c r="D119" s="669">
        <f aca="true" t="shared" si="15" ref="D119:D144">IF(C119&gt;0,0,C118+D118)</f>
        <v>0</v>
      </c>
      <c r="G119" s="555"/>
      <c r="H119" s="337"/>
    </row>
    <row r="120" spans="1:8" ht="12.75" customHeight="1">
      <c r="A120" s="454">
        <f aca="true" t="shared" si="16" ref="A120:A171">IF(C120&gt;0,B120,0)</f>
        <v>37865</v>
      </c>
      <c r="B120" s="14">
        <v>37865</v>
      </c>
      <c r="C120" s="48">
        <v>0.0698</v>
      </c>
      <c r="D120" s="670">
        <f t="shared" si="15"/>
        <v>0</v>
      </c>
      <c r="G120" s="555"/>
      <c r="H120" s="337"/>
    </row>
    <row r="121" spans="1:8" ht="12.75" customHeight="1">
      <c r="A121" s="454">
        <f t="shared" si="16"/>
        <v>37895</v>
      </c>
      <c r="B121" s="14">
        <v>37895</v>
      </c>
      <c r="C121" s="48">
        <v>0.0695</v>
      </c>
      <c r="D121" s="670">
        <f t="shared" si="15"/>
        <v>0</v>
      </c>
      <c r="G121" s="555"/>
      <c r="H121" s="337"/>
    </row>
    <row r="122" spans="1:8" ht="12.75" customHeight="1">
      <c r="A122" s="454">
        <f t="shared" si="16"/>
        <v>37926</v>
      </c>
      <c r="B122" s="14">
        <v>37926</v>
      </c>
      <c r="C122" s="48">
        <v>0.0692</v>
      </c>
      <c r="D122" s="670">
        <f t="shared" si="15"/>
        <v>0</v>
      </c>
      <c r="G122" s="555"/>
      <c r="H122" s="337"/>
    </row>
    <row r="123" spans="1:8" ht="12.75" customHeight="1">
      <c r="A123" s="454">
        <f t="shared" si="16"/>
        <v>37956</v>
      </c>
      <c r="B123" s="14">
        <v>37956</v>
      </c>
      <c r="C123" s="48">
        <v>0.069</v>
      </c>
      <c r="D123" s="670">
        <f t="shared" si="15"/>
        <v>0</v>
      </c>
      <c r="G123" s="555"/>
      <c r="H123" s="337"/>
    </row>
    <row r="124" spans="1:8" ht="12.75" customHeight="1">
      <c r="A124" s="454">
        <f t="shared" si="16"/>
        <v>37987</v>
      </c>
      <c r="B124" s="14">
        <v>37987</v>
      </c>
      <c r="C124" s="48">
        <v>0.0687</v>
      </c>
      <c r="D124" s="670">
        <f t="shared" si="15"/>
        <v>0</v>
      </c>
      <c r="G124" s="555"/>
      <c r="H124" s="337"/>
    </row>
    <row r="125" spans="1:8" ht="12.75" customHeight="1">
      <c r="A125" s="454">
        <f t="shared" si="16"/>
        <v>38018</v>
      </c>
      <c r="B125" s="14">
        <v>38018</v>
      </c>
      <c r="C125" s="48">
        <v>0.0685</v>
      </c>
      <c r="D125" s="670">
        <f t="shared" si="15"/>
        <v>0</v>
      </c>
      <c r="G125" s="555"/>
      <c r="H125" s="337"/>
    </row>
    <row r="126" spans="1:8" ht="12.75" customHeight="1">
      <c r="A126" s="454">
        <f t="shared" si="16"/>
        <v>38047</v>
      </c>
      <c r="B126" s="14">
        <v>38047</v>
      </c>
      <c r="C126" s="48">
        <v>0.0683</v>
      </c>
      <c r="D126" s="670">
        <f t="shared" si="15"/>
        <v>0</v>
      </c>
      <c r="E126" s="337"/>
      <c r="F126" s="556"/>
      <c r="G126" s="555"/>
      <c r="H126" s="337"/>
    </row>
    <row r="127" spans="1:8" ht="12.75" customHeight="1">
      <c r="A127" s="454">
        <f t="shared" si="16"/>
        <v>38078</v>
      </c>
      <c r="B127" s="14">
        <v>38078</v>
      </c>
      <c r="C127" s="48">
        <v>0.068</v>
      </c>
      <c r="D127" s="670">
        <f t="shared" si="15"/>
        <v>0</v>
      </c>
      <c r="E127" s="337"/>
      <c r="F127" s="556"/>
      <c r="G127" s="555"/>
      <c r="H127" s="337"/>
    </row>
    <row r="128" spans="1:8" ht="12.75" customHeight="1">
      <c r="A128" s="454">
        <f t="shared" si="16"/>
        <v>38108</v>
      </c>
      <c r="B128" s="14">
        <v>38108</v>
      </c>
      <c r="C128" s="48">
        <v>0.0678</v>
      </c>
      <c r="D128" s="670">
        <f t="shared" si="15"/>
        <v>0</v>
      </c>
      <c r="E128" s="337"/>
      <c r="F128" s="556"/>
      <c r="G128" s="555"/>
      <c r="H128" s="337"/>
    </row>
    <row r="129" spans="1:8" ht="12.75" customHeight="1">
      <c r="A129" s="454">
        <f t="shared" si="16"/>
        <v>38139</v>
      </c>
      <c r="B129" s="14">
        <v>38139</v>
      </c>
      <c r="C129" s="48">
        <v>0.0676</v>
      </c>
      <c r="D129" s="670">
        <f t="shared" si="15"/>
        <v>0</v>
      </c>
      <c r="E129" s="337"/>
      <c r="F129" s="556"/>
      <c r="G129" s="555"/>
      <c r="H129" s="337"/>
    </row>
    <row r="130" spans="1:8" ht="12.75" customHeight="1">
      <c r="A130" s="454">
        <f t="shared" si="16"/>
        <v>38169</v>
      </c>
      <c r="B130" s="14">
        <v>38169</v>
      </c>
      <c r="C130" s="48">
        <v>0.0673</v>
      </c>
      <c r="D130" s="670">
        <f t="shared" si="15"/>
        <v>0</v>
      </c>
      <c r="G130" s="555"/>
      <c r="H130" s="337"/>
    </row>
    <row r="131" spans="1:8" ht="12.75" customHeight="1">
      <c r="A131" s="454">
        <f t="shared" si="16"/>
        <v>38200</v>
      </c>
      <c r="B131" s="14">
        <v>38200</v>
      </c>
      <c r="C131" s="48">
        <v>0.067</v>
      </c>
      <c r="D131" s="670">
        <f t="shared" si="15"/>
        <v>0</v>
      </c>
      <c r="G131" s="555"/>
      <c r="H131" s="337"/>
    </row>
    <row r="132" spans="1:8" ht="12.75" customHeight="1">
      <c r="A132" s="454">
        <f t="shared" si="16"/>
        <v>38231</v>
      </c>
      <c r="B132" s="14">
        <v>38231</v>
      </c>
      <c r="C132" s="48">
        <v>0.0668</v>
      </c>
      <c r="D132" s="670">
        <f t="shared" si="15"/>
        <v>0</v>
      </c>
      <c r="G132" s="555"/>
      <c r="H132" s="337"/>
    </row>
    <row r="133" spans="1:8" ht="12.75" customHeight="1">
      <c r="A133" s="454">
        <f t="shared" si="16"/>
        <v>38261</v>
      </c>
      <c r="B133" s="14">
        <v>38261</v>
      </c>
      <c r="C133" s="48">
        <v>0.0666</v>
      </c>
      <c r="D133" s="670">
        <f t="shared" si="15"/>
        <v>0</v>
      </c>
      <c r="G133" s="555"/>
      <c r="H133" s="337"/>
    </row>
    <row r="134" spans="1:8" ht="12.75" customHeight="1">
      <c r="A134" s="454">
        <f t="shared" si="16"/>
        <v>38292</v>
      </c>
      <c r="B134" s="14">
        <v>38292</v>
      </c>
      <c r="C134" s="48">
        <v>0.0664</v>
      </c>
      <c r="D134" s="670">
        <f t="shared" si="15"/>
        <v>0</v>
      </c>
      <c r="E134" s="337"/>
      <c r="F134" s="556"/>
      <c r="G134" s="555"/>
      <c r="H134" s="337"/>
    </row>
    <row r="135" spans="1:8" ht="12.75" customHeight="1">
      <c r="A135" s="454">
        <f t="shared" si="16"/>
        <v>38322</v>
      </c>
      <c r="B135" s="14">
        <v>38322</v>
      </c>
      <c r="C135" s="48">
        <v>0.0662</v>
      </c>
      <c r="D135" s="670">
        <f t="shared" si="15"/>
        <v>0</v>
      </c>
      <c r="E135" s="337"/>
      <c r="F135" s="556"/>
      <c r="G135" s="555"/>
      <c r="H135" s="337"/>
    </row>
    <row r="136" spans="1:8" ht="12.75" customHeight="1">
      <c r="A136" s="454">
        <f t="shared" si="16"/>
        <v>38353</v>
      </c>
      <c r="B136" s="14">
        <v>38353</v>
      </c>
      <c r="C136" s="48">
        <v>0.066</v>
      </c>
      <c r="D136" s="670">
        <f t="shared" si="15"/>
        <v>0</v>
      </c>
      <c r="E136" s="337"/>
      <c r="F136" s="556"/>
      <c r="G136" s="555"/>
      <c r="H136" s="337"/>
    </row>
    <row r="137" spans="1:8" ht="12.75" customHeight="1">
      <c r="A137" s="454">
        <f t="shared" si="16"/>
        <v>38384</v>
      </c>
      <c r="B137" s="14">
        <v>38384</v>
      </c>
      <c r="C137" s="48">
        <v>0.0658</v>
      </c>
      <c r="D137" s="670">
        <f t="shared" si="15"/>
        <v>0</v>
      </c>
      <c r="G137" s="555"/>
      <c r="H137" s="337"/>
    </row>
    <row r="138" spans="1:8" ht="12.75" customHeight="1">
      <c r="A138" s="454">
        <f t="shared" si="16"/>
        <v>38412</v>
      </c>
      <c r="B138" s="14">
        <v>38412</v>
      </c>
      <c r="C138" s="48">
        <v>0.0656</v>
      </c>
      <c r="D138" s="670">
        <f t="shared" si="15"/>
        <v>0</v>
      </c>
      <c r="G138" s="555"/>
      <c r="H138" s="337"/>
    </row>
    <row r="139" spans="1:8" ht="12.75" customHeight="1">
      <c r="A139" s="454">
        <f t="shared" si="16"/>
        <v>38443</v>
      </c>
      <c r="B139" s="14">
        <v>38443</v>
      </c>
      <c r="C139" s="48">
        <v>0.0654</v>
      </c>
      <c r="D139" s="670">
        <f t="shared" si="15"/>
        <v>0</v>
      </c>
      <c r="G139" s="555"/>
      <c r="H139" s="337"/>
    </row>
    <row r="140" spans="1:8" ht="12.75" customHeight="1">
      <c r="A140" s="454">
        <f t="shared" si="16"/>
        <v>38473</v>
      </c>
      <c r="B140" s="14">
        <v>38473</v>
      </c>
      <c r="C140" s="48">
        <v>0.0652</v>
      </c>
      <c r="D140" s="670">
        <f t="shared" si="15"/>
        <v>0</v>
      </c>
      <c r="G140" s="555"/>
      <c r="H140" s="337"/>
    </row>
    <row r="141" spans="1:8" ht="12.75" customHeight="1">
      <c r="A141" s="454">
        <f t="shared" si="16"/>
        <v>38504</v>
      </c>
      <c r="B141" s="14">
        <v>38504</v>
      </c>
      <c r="C141" s="48">
        <v>0.0649</v>
      </c>
      <c r="D141" s="670">
        <f t="shared" si="15"/>
        <v>0</v>
      </c>
      <c r="E141" s="337"/>
      <c r="F141" s="556"/>
      <c r="G141" s="555"/>
      <c r="H141" s="337"/>
    </row>
    <row r="142" spans="1:8" ht="12.75" customHeight="1">
      <c r="A142" s="454">
        <f t="shared" si="16"/>
        <v>38534</v>
      </c>
      <c r="B142" s="14">
        <v>38534</v>
      </c>
      <c r="C142" s="48">
        <v>0.0646</v>
      </c>
      <c r="D142" s="670">
        <f t="shared" si="15"/>
        <v>0</v>
      </c>
      <c r="E142" s="337"/>
      <c r="F142" s="556"/>
      <c r="G142" s="555"/>
      <c r="H142" s="337"/>
    </row>
    <row r="143" spans="1:8" ht="12.75" customHeight="1">
      <c r="A143" s="454">
        <f t="shared" si="16"/>
        <v>38565</v>
      </c>
      <c r="B143" s="14">
        <v>38565</v>
      </c>
      <c r="C143" s="48">
        <v>0.0643</v>
      </c>
      <c r="D143" s="670">
        <f t="shared" si="15"/>
        <v>0</v>
      </c>
      <c r="H143" s="337"/>
    </row>
    <row r="144" spans="1:8" ht="12.75" customHeight="1">
      <c r="A144" s="454">
        <f t="shared" si="16"/>
        <v>38596</v>
      </c>
      <c r="B144" s="14">
        <v>38596</v>
      </c>
      <c r="C144" s="48">
        <v>0.064</v>
      </c>
      <c r="D144" s="670">
        <f t="shared" si="15"/>
        <v>0</v>
      </c>
      <c r="H144" s="337"/>
    </row>
    <row r="145" spans="1:8" ht="12.75" customHeight="1">
      <c r="A145" s="454">
        <f t="shared" si="16"/>
        <v>38626</v>
      </c>
      <c r="B145" s="14">
        <v>38626</v>
      </c>
      <c r="C145" s="48">
        <v>0.0637</v>
      </c>
      <c r="D145" s="670">
        <f>IF(C145&gt;0,0,C144+D144)</f>
        <v>0</v>
      </c>
      <c r="H145" s="337"/>
    </row>
    <row r="146" spans="1:4" ht="12.75" customHeight="1">
      <c r="A146" s="454">
        <f t="shared" si="16"/>
        <v>38657</v>
      </c>
      <c r="B146" s="14">
        <v>38657</v>
      </c>
      <c r="C146" s="48">
        <v>0.0634</v>
      </c>
      <c r="D146" s="670">
        <f aca="true" t="shared" si="17" ref="D146:D209">IF(C146&gt;0,0,C145+D145)</f>
        <v>0</v>
      </c>
    </row>
    <row r="147" spans="1:4" ht="12.75" customHeight="1">
      <c r="A147" s="454">
        <f t="shared" si="16"/>
        <v>38687</v>
      </c>
      <c r="B147" s="14">
        <v>38687</v>
      </c>
      <c r="C147" s="48">
        <v>0.0631</v>
      </c>
      <c r="D147" s="670">
        <f t="shared" si="17"/>
        <v>0</v>
      </c>
    </row>
    <row r="148" spans="1:4" ht="12.75" customHeight="1">
      <c r="A148" s="454">
        <f t="shared" si="16"/>
        <v>38718</v>
      </c>
      <c r="B148" s="14">
        <v>38718</v>
      </c>
      <c r="C148" s="48">
        <v>0.0627</v>
      </c>
      <c r="D148" s="670">
        <f t="shared" si="17"/>
        <v>0</v>
      </c>
    </row>
    <row r="149" spans="1:7" ht="12.75" customHeight="1">
      <c r="A149" s="454">
        <f t="shared" si="16"/>
        <v>38749</v>
      </c>
      <c r="B149" s="14">
        <v>38749</v>
      </c>
      <c r="C149" s="803">
        <v>0.0624</v>
      </c>
      <c r="D149" s="670">
        <f t="shared" si="17"/>
        <v>0</v>
      </c>
      <c r="G149" s="555"/>
    </row>
    <row r="150" spans="1:7" ht="12.75" customHeight="1">
      <c r="A150" s="454">
        <f t="shared" si="16"/>
        <v>38777</v>
      </c>
      <c r="B150" s="14">
        <v>38777</v>
      </c>
      <c r="C150" s="803">
        <v>0.062</v>
      </c>
      <c r="D150" s="670">
        <f t="shared" si="17"/>
        <v>0</v>
      </c>
      <c r="G150" s="337"/>
    </row>
    <row r="151" spans="1:4" ht="12.75" customHeight="1">
      <c r="A151" s="454">
        <f t="shared" si="16"/>
        <v>38808</v>
      </c>
      <c r="B151" s="14">
        <v>38808</v>
      </c>
      <c r="C151" s="803">
        <v>0.0617</v>
      </c>
      <c r="D151" s="670">
        <f t="shared" si="17"/>
        <v>0</v>
      </c>
    </row>
    <row r="152" spans="1:4" ht="12.75" customHeight="1">
      <c r="A152" s="454">
        <f t="shared" si="16"/>
        <v>38838</v>
      </c>
      <c r="B152" s="14">
        <v>38838</v>
      </c>
      <c r="C152" s="803">
        <v>0.0613</v>
      </c>
      <c r="D152" s="670">
        <f t="shared" si="17"/>
        <v>0</v>
      </c>
    </row>
    <row r="153" spans="1:4" ht="12.75" customHeight="1">
      <c r="A153" s="454">
        <f t="shared" si="16"/>
        <v>38869</v>
      </c>
      <c r="B153" s="14">
        <v>38869</v>
      </c>
      <c r="C153" s="803">
        <v>0.061</v>
      </c>
      <c r="D153" s="670">
        <f t="shared" si="17"/>
        <v>0</v>
      </c>
    </row>
    <row r="154" spans="1:4" ht="12.75" customHeight="1">
      <c r="A154" s="454">
        <f t="shared" si="16"/>
        <v>38899</v>
      </c>
      <c r="B154" s="14">
        <v>38899</v>
      </c>
      <c r="C154" s="803">
        <v>0.0607</v>
      </c>
      <c r="D154" s="670">
        <f t="shared" si="17"/>
        <v>0</v>
      </c>
    </row>
    <row r="155" spans="1:4" ht="12.75" customHeight="1">
      <c r="A155" s="454">
        <f t="shared" si="16"/>
        <v>38930</v>
      </c>
      <c r="B155" s="14">
        <v>38930</v>
      </c>
      <c r="C155" s="803">
        <v>0.0604</v>
      </c>
      <c r="D155" s="670">
        <f t="shared" si="17"/>
        <v>0</v>
      </c>
    </row>
    <row r="156" spans="1:4" ht="12.75" customHeight="1">
      <c r="A156" s="454">
        <f t="shared" si="16"/>
        <v>38961</v>
      </c>
      <c r="B156" s="14">
        <v>38961</v>
      </c>
      <c r="C156" s="803">
        <v>0.06</v>
      </c>
      <c r="D156" s="670">
        <f t="shared" si="17"/>
        <v>0</v>
      </c>
    </row>
    <row r="157" spans="1:4" ht="12.75" customHeight="1">
      <c r="A157" s="454">
        <f t="shared" si="16"/>
        <v>38991</v>
      </c>
      <c r="B157" s="14">
        <v>38991</v>
      </c>
      <c r="C157" s="803">
        <v>0.0597</v>
      </c>
      <c r="D157" s="670">
        <f t="shared" si="17"/>
        <v>0</v>
      </c>
    </row>
    <row r="158" spans="1:4" ht="12.75" customHeight="1">
      <c r="A158" s="454">
        <f t="shared" si="16"/>
        <v>39022</v>
      </c>
      <c r="B158" s="14">
        <v>39022</v>
      </c>
      <c r="C158" s="803">
        <v>0.0594</v>
      </c>
      <c r="D158" s="670">
        <f t="shared" si="17"/>
        <v>0</v>
      </c>
    </row>
    <row r="159" spans="1:4" ht="12.75" customHeight="1">
      <c r="A159" s="454">
        <f t="shared" si="16"/>
        <v>39052</v>
      </c>
      <c r="B159" s="14">
        <v>39052</v>
      </c>
      <c r="C159" s="803">
        <v>0.0591</v>
      </c>
      <c r="D159" s="670">
        <f t="shared" si="17"/>
        <v>0</v>
      </c>
    </row>
    <row r="160" spans="1:4" ht="12.75" customHeight="1">
      <c r="A160" s="454">
        <f t="shared" si="16"/>
        <v>39083</v>
      </c>
      <c r="B160" s="14">
        <v>39083</v>
      </c>
      <c r="C160" s="803">
        <v>0.0588</v>
      </c>
      <c r="D160" s="670">
        <f t="shared" si="17"/>
        <v>0</v>
      </c>
    </row>
    <row r="161" spans="1:4" ht="12.75" customHeight="1">
      <c r="A161" s="454">
        <f t="shared" si="16"/>
        <v>39114</v>
      </c>
      <c r="B161" s="14">
        <v>39114</v>
      </c>
      <c r="C161" s="803">
        <v>0.0586</v>
      </c>
      <c r="D161" s="670">
        <f t="shared" si="17"/>
        <v>0</v>
      </c>
    </row>
    <row r="162" spans="1:4" ht="12.75" customHeight="1">
      <c r="A162" s="454">
        <f t="shared" si="16"/>
        <v>39142</v>
      </c>
      <c r="B162" s="14">
        <v>39142</v>
      </c>
      <c r="C162" s="803">
        <v>0.0583</v>
      </c>
      <c r="D162" s="670">
        <f t="shared" si="17"/>
        <v>0</v>
      </c>
    </row>
    <row r="163" spans="1:4" ht="12.75" customHeight="1">
      <c r="A163" s="454">
        <f t="shared" si="16"/>
        <v>39173</v>
      </c>
      <c r="B163" s="14">
        <v>39173</v>
      </c>
      <c r="C163" s="803">
        <v>0.0581</v>
      </c>
      <c r="D163" s="670">
        <f t="shared" si="17"/>
        <v>0</v>
      </c>
    </row>
    <row r="164" spans="1:4" ht="12.75" customHeight="1">
      <c r="A164" s="454">
        <f t="shared" si="16"/>
        <v>39203</v>
      </c>
      <c r="B164" s="14">
        <v>39203</v>
      </c>
      <c r="C164" s="803">
        <v>0.0578</v>
      </c>
      <c r="D164" s="670">
        <f t="shared" si="17"/>
        <v>0</v>
      </c>
    </row>
    <row r="165" spans="1:4" ht="12.75" customHeight="1">
      <c r="A165" s="454">
        <f t="shared" si="16"/>
        <v>39234</v>
      </c>
      <c r="B165" s="14">
        <v>39234</v>
      </c>
      <c r="C165" s="803">
        <v>0.0575</v>
      </c>
      <c r="D165" s="670">
        <f t="shared" si="17"/>
        <v>0</v>
      </c>
    </row>
    <row r="166" spans="1:4" ht="12.75" customHeight="1">
      <c r="A166" s="454">
        <f t="shared" si="16"/>
        <v>39264</v>
      </c>
      <c r="B166" s="14">
        <v>39264</v>
      </c>
      <c r="C166" s="803">
        <v>0.0573</v>
      </c>
      <c r="D166" s="670">
        <f t="shared" si="17"/>
        <v>0</v>
      </c>
    </row>
    <row r="167" spans="1:4" ht="12.75" customHeight="1">
      <c r="A167" s="454">
        <f t="shared" si="16"/>
        <v>39295</v>
      </c>
      <c r="B167" s="14">
        <v>39295</v>
      </c>
      <c r="C167" s="803">
        <v>0.057</v>
      </c>
      <c r="D167" s="670">
        <f t="shared" si="17"/>
        <v>0</v>
      </c>
    </row>
    <row r="168" spans="1:4" ht="12.75" customHeight="1">
      <c r="A168" s="454">
        <f t="shared" si="16"/>
        <v>39326</v>
      </c>
      <c r="B168" s="14">
        <v>39326</v>
      </c>
      <c r="C168" s="803">
        <v>0.0568</v>
      </c>
      <c r="D168" s="670">
        <f t="shared" si="17"/>
        <v>0</v>
      </c>
    </row>
    <row r="169" spans="1:4" ht="12.75" customHeight="1">
      <c r="A169" s="454">
        <f t="shared" si="16"/>
        <v>39356</v>
      </c>
      <c r="B169" s="14">
        <v>39356</v>
      </c>
      <c r="C169" s="803">
        <v>0.0566</v>
      </c>
      <c r="D169" s="670">
        <f t="shared" si="17"/>
        <v>0</v>
      </c>
    </row>
    <row r="170" spans="1:4" ht="12.75" customHeight="1">
      <c r="A170" s="454">
        <f t="shared" si="16"/>
        <v>39387</v>
      </c>
      <c r="B170" s="14">
        <v>39387</v>
      </c>
      <c r="C170" s="803">
        <v>0.0564</v>
      </c>
      <c r="D170" s="670">
        <f t="shared" si="17"/>
        <v>0</v>
      </c>
    </row>
    <row r="171" spans="1:4" ht="12.75" customHeight="1">
      <c r="A171" s="454">
        <f t="shared" si="16"/>
        <v>39417</v>
      </c>
      <c r="B171" s="14">
        <v>39417</v>
      </c>
      <c r="C171" s="803">
        <v>0.0561</v>
      </c>
      <c r="D171" s="670">
        <f t="shared" si="17"/>
        <v>0</v>
      </c>
    </row>
    <row r="172" spans="1:4" ht="12.75" customHeight="1">
      <c r="A172" s="454">
        <f aca="true" t="shared" si="18" ref="A172:A235">IF(C172&gt;0,B172,0)</f>
        <v>39448</v>
      </c>
      <c r="B172" s="14">
        <v>39448</v>
      </c>
      <c r="C172" s="803">
        <v>0.0559</v>
      </c>
      <c r="D172" s="670">
        <f t="shared" si="17"/>
        <v>0</v>
      </c>
    </row>
    <row r="173" spans="1:4" ht="12.75" customHeight="1">
      <c r="A173" s="454">
        <f t="shared" si="18"/>
        <v>39479</v>
      </c>
      <c r="B173" s="14">
        <v>39479</v>
      </c>
      <c r="C173" s="803">
        <v>0.0557</v>
      </c>
      <c r="D173" s="670">
        <f t="shared" si="17"/>
        <v>0</v>
      </c>
    </row>
    <row r="174" spans="1:4" ht="12.75" customHeight="1">
      <c r="A174" s="454">
        <f t="shared" si="18"/>
        <v>39508</v>
      </c>
      <c r="B174" s="14">
        <v>39508</v>
      </c>
      <c r="C174" s="803">
        <v>0.0556</v>
      </c>
      <c r="D174" s="670">
        <f t="shared" si="17"/>
        <v>0</v>
      </c>
    </row>
    <row r="175" spans="1:5" ht="12.75" customHeight="1">
      <c r="A175" s="454">
        <f t="shared" si="18"/>
        <v>39539</v>
      </c>
      <c r="B175" s="14">
        <v>39539</v>
      </c>
      <c r="C175" s="803">
        <v>0.0554</v>
      </c>
      <c r="D175" s="670">
        <f t="shared" si="17"/>
        <v>0</v>
      </c>
      <c r="E175" s="245" t="s">
        <v>411</v>
      </c>
    </row>
    <row r="176" spans="1:4" ht="12.75" customHeight="1">
      <c r="A176" s="454">
        <f t="shared" si="18"/>
        <v>39569</v>
      </c>
      <c r="B176" s="14">
        <v>39569</v>
      </c>
      <c r="C176" s="803">
        <v>0.0552</v>
      </c>
      <c r="D176" s="670">
        <f t="shared" si="17"/>
        <v>0</v>
      </c>
    </row>
    <row r="177" spans="1:7" ht="12.75" customHeight="1">
      <c r="A177" s="454">
        <f t="shared" si="18"/>
        <v>39600</v>
      </c>
      <c r="B177" s="14">
        <v>39600</v>
      </c>
      <c r="C177" s="803">
        <v>0.055</v>
      </c>
      <c r="D177" s="670">
        <f t="shared" si="17"/>
        <v>0</v>
      </c>
      <c r="F177" s="739" t="s">
        <v>414</v>
      </c>
      <c r="G177" s="337"/>
    </row>
    <row r="178" spans="1:6" ht="12.75" customHeight="1">
      <c r="A178" s="454">
        <f t="shared" si="18"/>
        <v>39630</v>
      </c>
      <c r="B178" s="14">
        <v>39630</v>
      </c>
      <c r="C178" s="803">
        <v>0.0549</v>
      </c>
      <c r="D178" s="670">
        <f t="shared" si="17"/>
        <v>0</v>
      </c>
      <c r="F178" s="245" t="s">
        <v>309</v>
      </c>
    </row>
    <row r="179" spans="1:6" ht="12.75" customHeight="1">
      <c r="A179" s="454">
        <f t="shared" si="18"/>
        <v>39661</v>
      </c>
      <c r="B179" s="14">
        <v>39661</v>
      </c>
      <c r="C179" s="803">
        <v>0.0548</v>
      </c>
      <c r="D179" s="670">
        <f t="shared" si="17"/>
        <v>0</v>
      </c>
      <c r="F179" s="562" t="s">
        <v>310</v>
      </c>
    </row>
    <row r="180" spans="1:7" ht="12.75" customHeight="1">
      <c r="A180" s="454">
        <f t="shared" si="18"/>
        <v>39692</v>
      </c>
      <c r="B180" s="14">
        <v>39692</v>
      </c>
      <c r="C180" s="803">
        <v>0.0546</v>
      </c>
      <c r="D180" s="670">
        <f t="shared" si="17"/>
        <v>0</v>
      </c>
      <c r="F180" s="245" t="s">
        <v>311</v>
      </c>
      <c r="G180" s="738" t="s">
        <v>312</v>
      </c>
    </row>
    <row r="181" spans="1:7" ht="12.75" customHeight="1">
      <c r="A181" s="454">
        <f t="shared" si="18"/>
        <v>39722</v>
      </c>
      <c r="B181" s="14">
        <v>39722</v>
      </c>
      <c r="C181" s="803">
        <v>0.0545</v>
      </c>
      <c r="D181" s="670">
        <f t="shared" si="17"/>
        <v>0</v>
      </c>
      <c r="G181" s="738" t="s">
        <v>313</v>
      </c>
    </row>
    <row r="182" spans="1:7" ht="12.75" customHeight="1">
      <c r="A182" s="454">
        <f t="shared" si="18"/>
        <v>39753</v>
      </c>
      <c r="B182" s="14">
        <v>39753</v>
      </c>
      <c r="C182" s="803">
        <v>0.0544</v>
      </c>
      <c r="D182" s="670">
        <f t="shared" si="17"/>
        <v>0</v>
      </c>
      <c r="G182" s="738" t="s">
        <v>314</v>
      </c>
    </row>
    <row r="183" spans="1:4" ht="12.75" customHeight="1">
      <c r="A183" s="454">
        <f t="shared" si="18"/>
        <v>39783</v>
      </c>
      <c r="B183" s="14">
        <v>39783</v>
      </c>
      <c r="C183" s="803">
        <v>0.0542</v>
      </c>
      <c r="D183" s="670">
        <f t="shared" si="17"/>
        <v>0</v>
      </c>
    </row>
    <row r="184" spans="1:4" ht="12.75" customHeight="1">
      <c r="A184" s="454">
        <f t="shared" si="18"/>
        <v>39814</v>
      </c>
      <c r="B184" s="14">
        <v>39814</v>
      </c>
      <c r="C184" s="803">
        <v>0.0541</v>
      </c>
      <c r="D184" s="670">
        <f t="shared" si="17"/>
        <v>0</v>
      </c>
    </row>
    <row r="185" spans="1:4" ht="12.75" customHeight="1">
      <c r="A185" s="454">
        <f t="shared" si="18"/>
        <v>39845</v>
      </c>
      <c r="B185" s="14">
        <v>39845</v>
      </c>
      <c r="C185" s="803">
        <v>0.054</v>
      </c>
      <c r="D185" s="670">
        <f t="shared" si="17"/>
        <v>0</v>
      </c>
    </row>
    <row r="186" spans="1:5" ht="12.75" customHeight="1">
      <c r="A186" s="454">
        <f t="shared" si="18"/>
        <v>39873</v>
      </c>
      <c r="B186" s="14">
        <v>39873</v>
      </c>
      <c r="C186" s="803">
        <v>0.0539</v>
      </c>
      <c r="D186" s="670">
        <f t="shared" si="17"/>
        <v>0</v>
      </c>
      <c r="E186" s="337" t="s">
        <v>413</v>
      </c>
    </row>
    <row r="187" spans="1:5" ht="12.75" customHeight="1">
      <c r="A187" s="454">
        <f t="shared" si="18"/>
        <v>39904</v>
      </c>
      <c r="B187" s="14">
        <v>39904</v>
      </c>
      <c r="C187" s="803">
        <v>0.0538</v>
      </c>
      <c r="D187" s="670">
        <f t="shared" si="17"/>
        <v>0</v>
      </c>
      <c r="E187" s="337"/>
    </row>
    <row r="188" spans="1:5" ht="12.75" customHeight="1">
      <c r="A188" s="454">
        <f t="shared" si="18"/>
        <v>39934</v>
      </c>
      <c r="B188" s="14">
        <v>39934</v>
      </c>
      <c r="C188" s="803">
        <v>0.0537</v>
      </c>
      <c r="D188" s="670">
        <f t="shared" si="17"/>
        <v>0</v>
      </c>
      <c r="E188" s="337"/>
    </row>
    <row r="189" spans="1:5" ht="12.75" customHeight="1">
      <c r="A189" s="454">
        <f t="shared" si="18"/>
        <v>39965</v>
      </c>
      <c r="B189" s="14">
        <v>39965</v>
      </c>
      <c r="C189" s="803">
        <v>0.0536</v>
      </c>
      <c r="D189" s="670">
        <f t="shared" si="17"/>
        <v>0</v>
      </c>
      <c r="E189" s="337" t="s">
        <v>421</v>
      </c>
    </row>
    <row r="190" spans="1:5" ht="12.75" customHeight="1">
      <c r="A190" s="454">
        <f t="shared" si="18"/>
        <v>39995</v>
      </c>
      <c r="B190" s="14">
        <v>39995</v>
      </c>
      <c r="C190" s="803">
        <v>0.0535</v>
      </c>
      <c r="D190" s="670">
        <f t="shared" si="17"/>
        <v>0</v>
      </c>
      <c r="E190" s="337" t="s">
        <v>8</v>
      </c>
    </row>
    <row r="191" spans="1:5" ht="12.75" customHeight="1">
      <c r="A191" s="454">
        <f t="shared" si="18"/>
        <v>40026</v>
      </c>
      <c r="B191" s="14">
        <v>40026</v>
      </c>
      <c r="C191" s="803">
        <v>0.0534</v>
      </c>
      <c r="D191" s="670">
        <f t="shared" si="17"/>
        <v>0</v>
      </c>
      <c r="E191" s="337" t="s">
        <v>423</v>
      </c>
    </row>
    <row r="192" spans="1:5" ht="12.75" customHeight="1">
      <c r="A192" s="454">
        <f t="shared" si="18"/>
        <v>40057</v>
      </c>
      <c r="B192" s="14">
        <v>40057</v>
      </c>
      <c r="C192" s="803">
        <v>0.0534</v>
      </c>
      <c r="D192" s="670">
        <f t="shared" si="17"/>
        <v>0</v>
      </c>
      <c r="E192" s="337"/>
    </row>
    <row r="193" spans="1:5" ht="12.75" customHeight="1">
      <c r="A193" s="454">
        <f t="shared" si="18"/>
        <v>40087</v>
      </c>
      <c r="B193" s="14">
        <v>40087</v>
      </c>
      <c r="C193" s="803">
        <v>0.0533</v>
      </c>
      <c r="D193" s="670">
        <f t="shared" si="17"/>
        <v>0</v>
      </c>
      <c r="E193" s="337"/>
    </row>
    <row r="194" spans="1:5" ht="12.75" customHeight="1">
      <c r="A194" s="454">
        <f t="shared" si="18"/>
        <v>40118</v>
      </c>
      <c r="B194" s="14">
        <v>40118</v>
      </c>
      <c r="C194" s="803">
        <v>0.0533</v>
      </c>
      <c r="D194" s="670">
        <f t="shared" si="17"/>
        <v>0</v>
      </c>
      <c r="E194" s="337"/>
    </row>
    <row r="195" spans="1:5" ht="12.75" customHeight="1">
      <c r="A195" s="454">
        <f t="shared" si="18"/>
        <v>40148</v>
      </c>
      <c r="B195" s="14">
        <v>40148</v>
      </c>
      <c r="C195" s="803">
        <v>0.0533</v>
      </c>
      <c r="D195" s="670">
        <f t="shared" si="17"/>
        <v>0</v>
      </c>
      <c r="E195" s="337"/>
    </row>
    <row r="196" spans="1:5" ht="12.75" customHeight="1">
      <c r="A196" s="454">
        <f t="shared" si="18"/>
        <v>40179</v>
      </c>
      <c r="B196" s="14">
        <v>40179</v>
      </c>
      <c r="C196" s="803">
        <v>0.0532</v>
      </c>
      <c r="D196" s="670">
        <f t="shared" si="17"/>
        <v>0</v>
      </c>
      <c r="E196" s="337"/>
    </row>
    <row r="197" spans="1:5" ht="12.75" customHeight="1">
      <c r="A197" s="454">
        <f t="shared" si="18"/>
        <v>40210</v>
      </c>
      <c r="B197" s="14">
        <v>40210</v>
      </c>
      <c r="C197" s="803">
        <v>0.0532</v>
      </c>
      <c r="D197" s="670">
        <f t="shared" si="17"/>
        <v>0</v>
      </c>
      <c r="E197" s="337"/>
    </row>
    <row r="198" spans="1:5" ht="12.75" customHeight="1">
      <c r="A198" s="454">
        <f t="shared" si="18"/>
        <v>40238</v>
      </c>
      <c r="B198" s="14">
        <v>40238</v>
      </c>
      <c r="C198" s="803">
        <v>0.0532</v>
      </c>
      <c r="D198" s="670">
        <f t="shared" si="17"/>
        <v>0</v>
      </c>
      <c r="E198" s="337"/>
    </row>
    <row r="199" spans="1:5" ht="12.75" customHeight="1">
      <c r="A199" s="454">
        <f t="shared" si="18"/>
        <v>40269</v>
      </c>
      <c r="B199" s="14">
        <v>40269</v>
      </c>
      <c r="C199" s="803">
        <v>0.0531</v>
      </c>
      <c r="D199" s="670">
        <f t="shared" si="17"/>
        <v>0</v>
      </c>
      <c r="E199" s="337"/>
    </row>
    <row r="200" spans="1:5" ht="12.75" customHeight="1">
      <c r="A200" s="454">
        <f t="shared" si="18"/>
        <v>40299</v>
      </c>
      <c r="B200" s="14">
        <v>40299</v>
      </c>
      <c r="C200" s="803">
        <v>0.053</v>
      </c>
      <c r="D200" s="670">
        <f t="shared" si="17"/>
        <v>0</v>
      </c>
      <c r="E200" s="337" t="s">
        <v>425</v>
      </c>
    </row>
    <row r="201" spans="1:4" ht="12.75" customHeight="1">
      <c r="A201" s="454">
        <f t="shared" si="18"/>
        <v>40330</v>
      </c>
      <c r="B201" s="14">
        <v>40330</v>
      </c>
      <c r="C201" s="803">
        <v>0.053</v>
      </c>
      <c r="D201" s="670">
        <f t="shared" si="17"/>
        <v>0</v>
      </c>
    </row>
    <row r="202" spans="1:4" ht="12.75" customHeight="1">
      <c r="A202" s="454">
        <f t="shared" si="18"/>
        <v>40360</v>
      </c>
      <c r="B202" s="14">
        <v>40360</v>
      </c>
      <c r="C202" s="803">
        <v>0.0529</v>
      </c>
      <c r="D202" s="670">
        <f t="shared" si="17"/>
        <v>0</v>
      </c>
    </row>
    <row r="203" spans="1:4" ht="12.75" customHeight="1">
      <c r="A203" s="454">
        <f t="shared" si="18"/>
        <v>40391</v>
      </c>
      <c r="B203" s="14">
        <v>40391</v>
      </c>
      <c r="C203" s="803">
        <v>0.0528</v>
      </c>
      <c r="D203" s="670">
        <f t="shared" si="17"/>
        <v>0</v>
      </c>
    </row>
    <row r="204" spans="1:4" ht="12.75" customHeight="1">
      <c r="A204" s="454">
        <f t="shared" si="18"/>
        <v>40422</v>
      </c>
      <c r="B204" s="14">
        <v>40422</v>
      </c>
      <c r="C204" s="803">
        <v>0.0526</v>
      </c>
      <c r="D204" s="670">
        <f t="shared" si="17"/>
        <v>0</v>
      </c>
    </row>
    <row r="205" spans="1:4" ht="12.75" customHeight="1">
      <c r="A205" s="454">
        <f t="shared" si="18"/>
        <v>40452</v>
      </c>
      <c r="B205" s="14">
        <v>40452</v>
      </c>
      <c r="C205" s="803">
        <v>0.0525</v>
      </c>
      <c r="D205" s="670">
        <f t="shared" si="17"/>
        <v>0</v>
      </c>
    </row>
    <row r="206" spans="1:4" ht="12.75" customHeight="1">
      <c r="A206" s="454">
        <f t="shared" si="18"/>
        <v>40483</v>
      </c>
      <c r="B206" s="14">
        <v>40483</v>
      </c>
      <c r="C206" s="803">
        <v>0.0523</v>
      </c>
      <c r="D206" s="670">
        <f t="shared" si="17"/>
        <v>0</v>
      </c>
    </row>
    <row r="207" spans="1:4" ht="12.75" customHeight="1">
      <c r="A207" s="454">
        <f t="shared" si="18"/>
        <v>40513</v>
      </c>
      <c r="B207" s="14">
        <v>40513</v>
      </c>
      <c r="C207" s="803">
        <v>0.0521</v>
      </c>
      <c r="D207" s="670">
        <f t="shared" si="17"/>
        <v>0</v>
      </c>
    </row>
    <row r="208" spans="1:4" ht="12.75" customHeight="1">
      <c r="A208" s="454">
        <f t="shared" si="18"/>
        <v>40544</v>
      </c>
      <c r="B208" s="14">
        <v>40544</v>
      </c>
      <c r="C208" s="803">
        <v>0.0519</v>
      </c>
      <c r="D208" s="670">
        <f t="shared" si="17"/>
        <v>0</v>
      </c>
    </row>
    <row r="209" spans="1:4" ht="12.75" customHeight="1">
      <c r="A209" s="454">
        <f t="shared" si="18"/>
        <v>40575</v>
      </c>
      <c r="B209" s="14">
        <v>40575</v>
      </c>
      <c r="C209" s="803">
        <v>0.0517</v>
      </c>
      <c r="D209" s="670">
        <f t="shared" si="17"/>
        <v>0</v>
      </c>
    </row>
    <row r="210" spans="1:4" ht="12.75" customHeight="1">
      <c r="A210" s="454">
        <f t="shared" si="18"/>
        <v>40603</v>
      </c>
      <c r="B210" s="14">
        <v>40603</v>
      </c>
      <c r="C210" s="803">
        <v>0.0515</v>
      </c>
      <c r="D210" s="670">
        <f aca="true" t="shared" si="19" ref="D210:D273">IF(C210&gt;0,0,C209+D209)</f>
        <v>0</v>
      </c>
    </row>
    <row r="211" spans="1:4" ht="12.75" customHeight="1">
      <c r="A211" s="454">
        <f t="shared" si="18"/>
        <v>40634</v>
      </c>
      <c r="B211" s="14">
        <v>40634</v>
      </c>
      <c r="C211" s="803">
        <v>0.0513</v>
      </c>
      <c r="D211" s="670">
        <f t="shared" si="19"/>
        <v>0</v>
      </c>
    </row>
    <row r="212" spans="1:4" ht="12.75" customHeight="1">
      <c r="A212" s="454">
        <f t="shared" si="18"/>
        <v>40664</v>
      </c>
      <c r="B212" s="14">
        <v>40664</v>
      </c>
      <c r="C212" s="803">
        <v>0.0511</v>
      </c>
      <c r="D212" s="670">
        <f t="shared" si="19"/>
        <v>0</v>
      </c>
    </row>
    <row r="213" spans="1:5" ht="12.75" customHeight="1">
      <c r="A213" s="454">
        <f t="shared" si="18"/>
        <v>40695</v>
      </c>
      <c r="B213" s="14">
        <v>40695</v>
      </c>
      <c r="C213" s="803">
        <v>0.0509</v>
      </c>
      <c r="D213" s="670">
        <f t="shared" si="19"/>
        <v>0</v>
      </c>
      <c r="E213" s="294" t="s">
        <v>451</v>
      </c>
    </row>
    <row r="214" spans="1:4" ht="12.75" customHeight="1">
      <c r="A214" s="454">
        <f t="shared" si="18"/>
        <v>40725</v>
      </c>
      <c r="B214" s="14">
        <v>40725</v>
      </c>
      <c r="C214" s="803">
        <v>0.0506</v>
      </c>
      <c r="D214" s="670">
        <f t="shared" si="19"/>
        <v>0</v>
      </c>
    </row>
    <row r="215" spans="1:4" ht="12.75" customHeight="1">
      <c r="A215" s="454">
        <f t="shared" si="18"/>
        <v>40756</v>
      </c>
      <c r="B215" s="14">
        <v>40756</v>
      </c>
      <c r="C215" s="803">
        <v>0.0504</v>
      </c>
      <c r="D215" s="670">
        <f t="shared" si="19"/>
        <v>0</v>
      </c>
    </row>
    <row r="216" spans="1:4" ht="12.75" customHeight="1">
      <c r="A216" s="454">
        <f t="shared" si="18"/>
        <v>40787</v>
      </c>
      <c r="B216" s="14">
        <v>40787</v>
      </c>
      <c r="C216" s="803">
        <v>0.0502</v>
      </c>
      <c r="D216" s="670">
        <f t="shared" si="19"/>
        <v>0</v>
      </c>
    </row>
    <row r="217" spans="1:4" ht="12.75" customHeight="1">
      <c r="A217" s="454">
        <f t="shared" si="18"/>
        <v>40817</v>
      </c>
      <c r="B217" s="14">
        <v>40817</v>
      </c>
      <c r="C217" s="803">
        <v>0.0499</v>
      </c>
      <c r="D217" s="670">
        <f t="shared" si="19"/>
        <v>0</v>
      </c>
    </row>
    <row r="218" spans="1:4" ht="12.75" customHeight="1">
      <c r="A218" s="454">
        <f t="shared" si="18"/>
        <v>40848</v>
      </c>
      <c r="B218" s="14">
        <v>40848</v>
      </c>
      <c r="C218" s="803">
        <v>0.0497</v>
      </c>
      <c r="D218" s="670">
        <f t="shared" si="19"/>
        <v>0</v>
      </c>
    </row>
    <row r="219" spans="1:4" ht="12.75" customHeight="1">
      <c r="A219" s="454">
        <f t="shared" si="18"/>
        <v>40878</v>
      </c>
      <c r="B219" s="14">
        <v>40878</v>
      </c>
      <c r="C219" s="803">
        <v>0.0494</v>
      </c>
      <c r="D219" s="670">
        <f t="shared" si="19"/>
        <v>0</v>
      </c>
    </row>
    <row r="220" spans="1:4" ht="12.75" customHeight="1">
      <c r="A220" s="454">
        <f t="shared" si="18"/>
        <v>40909</v>
      </c>
      <c r="B220" s="14">
        <v>40909</v>
      </c>
      <c r="C220" s="803">
        <v>0.0492</v>
      </c>
      <c r="D220" s="670">
        <f t="shared" si="19"/>
        <v>0</v>
      </c>
    </row>
    <row r="221" spans="1:4" ht="12.75" customHeight="1">
      <c r="A221" s="454">
        <f t="shared" si="18"/>
        <v>40940</v>
      </c>
      <c r="B221" s="14">
        <v>40940</v>
      </c>
      <c r="C221" s="803">
        <v>0.049</v>
      </c>
      <c r="D221" s="670">
        <f t="shared" si="19"/>
        <v>0</v>
      </c>
    </row>
    <row r="222" spans="1:5" ht="12.75" customHeight="1">
      <c r="A222" s="454">
        <f t="shared" si="18"/>
        <v>40969</v>
      </c>
      <c r="B222" s="14">
        <v>40969</v>
      </c>
      <c r="C222" s="803">
        <v>0.0488</v>
      </c>
      <c r="D222" s="670">
        <f t="shared" si="19"/>
        <v>0</v>
      </c>
      <c r="E222" s="292" t="s">
        <v>453</v>
      </c>
    </row>
    <row r="223" spans="1:4" ht="12.75" customHeight="1">
      <c r="A223" s="454">
        <f t="shared" si="18"/>
        <v>41000</v>
      </c>
      <c r="B223" s="14">
        <v>41000</v>
      </c>
      <c r="C223" s="803">
        <v>0.0486</v>
      </c>
      <c r="D223" s="670">
        <f t="shared" si="19"/>
        <v>0</v>
      </c>
    </row>
    <row r="224" spans="1:4" ht="12.75" customHeight="1">
      <c r="A224" s="454">
        <f t="shared" si="18"/>
        <v>41030</v>
      </c>
      <c r="B224" s="14">
        <v>41030</v>
      </c>
      <c r="C224" s="803">
        <v>0.0485</v>
      </c>
      <c r="D224" s="670">
        <f t="shared" si="19"/>
        <v>0</v>
      </c>
    </row>
    <row r="225" spans="1:4" ht="12.75" customHeight="1">
      <c r="A225" s="454">
        <f t="shared" si="18"/>
        <v>41061</v>
      </c>
      <c r="B225" s="14">
        <v>41061</v>
      </c>
      <c r="C225" s="1012">
        <v>0.0483</v>
      </c>
      <c r="D225" s="670">
        <f t="shared" si="19"/>
        <v>0</v>
      </c>
    </row>
    <row r="226" spans="1:4" ht="12.75" customHeight="1">
      <c r="A226" s="454">
        <f t="shared" si="18"/>
        <v>41091</v>
      </c>
      <c r="B226" s="14">
        <v>41091</v>
      </c>
      <c r="C226" s="1012">
        <v>0.0481</v>
      </c>
      <c r="D226" s="670">
        <f t="shared" si="19"/>
        <v>0</v>
      </c>
    </row>
    <row r="227" spans="1:4" ht="12.75" customHeight="1">
      <c r="A227" s="454">
        <f t="shared" si="18"/>
        <v>41122</v>
      </c>
      <c r="B227" s="14">
        <v>41122</v>
      </c>
      <c r="C227" s="1012">
        <v>0.048</v>
      </c>
      <c r="D227" s="670">
        <f t="shared" si="19"/>
        <v>0</v>
      </c>
    </row>
    <row r="228" spans="1:4" ht="12.75" customHeight="1">
      <c r="A228" s="454">
        <f t="shared" si="18"/>
        <v>41153</v>
      </c>
      <c r="B228" s="14">
        <v>41153</v>
      </c>
      <c r="C228" s="1012">
        <v>0.0478</v>
      </c>
      <c r="D228" s="670">
        <f t="shared" si="19"/>
        <v>0</v>
      </c>
    </row>
    <row r="229" spans="1:4" ht="12.75" customHeight="1">
      <c r="A229" s="454">
        <f t="shared" si="18"/>
        <v>41183</v>
      </c>
      <c r="B229" s="14">
        <v>41183</v>
      </c>
      <c r="C229" s="1012">
        <v>0.0476</v>
      </c>
      <c r="D229" s="670">
        <f t="shared" si="19"/>
        <v>0</v>
      </c>
    </row>
    <row r="230" spans="1:4" ht="12.75" customHeight="1">
      <c r="A230" s="454">
        <f t="shared" si="18"/>
        <v>41214</v>
      </c>
      <c r="B230" s="14">
        <v>41214</v>
      </c>
      <c r="C230" s="1012">
        <v>0.0474</v>
      </c>
      <c r="D230" s="670">
        <f t="shared" si="19"/>
        <v>0</v>
      </c>
    </row>
    <row r="231" spans="1:5" ht="12.75" customHeight="1">
      <c r="A231" s="454">
        <f t="shared" si="18"/>
        <v>41244</v>
      </c>
      <c r="B231" s="14">
        <v>41244</v>
      </c>
      <c r="C231" s="1012">
        <v>0.0472</v>
      </c>
      <c r="D231" s="670">
        <f t="shared" si="19"/>
        <v>0</v>
      </c>
      <c r="E231" s="292" t="s">
        <v>455</v>
      </c>
    </row>
    <row r="232" spans="1:4" ht="12.75" customHeight="1">
      <c r="A232" s="454">
        <f t="shared" si="18"/>
        <v>41275</v>
      </c>
      <c r="B232" s="14">
        <v>41275</v>
      </c>
      <c r="C232" s="1012">
        <v>0.047</v>
      </c>
      <c r="D232" s="670">
        <f t="shared" si="19"/>
        <v>0</v>
      </c>
    </row>
    <row r="233" spans="1:4" ht="12.75" customHeight="1">
      <c r="A233" s="454">
        <f t="shared" si="18"/>
        <v>41306</v>
      </c>
      <c r="B233" s="14">
        <v>41306</v>
      </c>
      <c r="C233" s="1012">
        <v>0.0468</v>
      </c>
      <c r="D233" s="670">
        <f t="shared" si="19"/>
        <v>0</v>
      </c>
    </row>
    <row r="234" spans="1:4" ht="12.75" customHeight="1">
      <c r="A234" s="454">
        <f t="shared" si="18"/>
        <v>41334</v>
      </c>
      <c r="B234" s="14">
        <v>41334</v>
      </c>
      <c r="C234" s="1012">
        <v>0.0466</v>
      </c>
      <c r="D234" s="670">
        <f t="shared" si="19"/>
        <v>0</v>
      </c>
    </row>
    <row r="235" spans="1:4" ht="12.75" customHeight="1">
      <c r="A235" s="454">
        <f t="shared" si="18"/>
        <v>41365</v>
      </c>
      <c r="B235" s="14">
        <v>41365</v>
      </c>
      <c r="C235" s="1012">
        <v>0.0463</v>
      </c>
      <c r="D235" s="670">
        <f t="shared" si="19"/>
        <v>0</v>
      </c>
    </row>
    <row r="236" spans="1:4" ht="12.75" customHeight="1">
      <c r="A236" s="454">
        <f aca="true" t="shared" si="20" ref="A236:A247">IF(C236&gt;0,B236,0)</f>
        <v>41395</v>
      </c>
      <c r="B236" s="14">
        <v>41395</v>
      </c>
      <c r="C236" s="1012">
        <v>0.0461</v>
      </c>
      <c r="D236" s="670">
        <f t="shared" si="19"/>
        <v>0</v>
      </c>
    </row>
    <row r="237" spans="1:4" ht="12.75" customHeight="1">
      <c r="A237" s="454">
        <f t="shared" si="20"/>
        <v>41426</v>
      </c>
      <c r="B237" s="14">
        <v>41426</v>
      </c>
      <c r="C237" s="1012">
        <v>0.0458</v>
      </c>
      <c r="D237" s="670">
        <f t="shared" si="19"/>
        <v>0</v>
      </c>
    </row>
    <row r="238" spans="1:4" ht="12.75" customHeight="1">
      <c r="A238" s="454">
        <f t="shared" si="20"/>
        <v>41456</v>
      </c>
      <c r="B238" s="14">
        <v>41456</v>
      </c>
      <c r="C238" s="1012">
        <v>0.0456</v>
      </c>
      <c r="D238" s="670">
        <f t="shared" si="19"/>
        <v>0</v>
      </c>
    </row>
    <row r="239" spans="1:4" ht="12.75" customHeight="1">
      <c r="A239" s="454">
        <f t="shared" si="20"/>
        <v>41487</v>
      </c>
      <c r="B239" s="14">
        <v>41487</v>
      </c>
      <c r="C239" s="1012">
        <v>0.0453</v>
      </c>
      <c r="D239" s="670">
        <f t="shared" si="19"/>
        <v>0</v>
      </c>
    </row>
    <row r="240" spans="1:8" ht="12.75" customHeight="1">
      <c r="A240" s="454">
        <f t="shared" si="20"/>
        <v>41518</v>
      </c>
      <c r="B240" s="14">
        <v>41518</v>
      </c>
      <c r="C240" s="1012">
        <v>0.0451</v>
      </c>
      <c r="D240" s="670">
        <f t="shared" si="19"/>
        <v>0</v>
      </c>
      <c r="E240" s="446" t="s">
        <v>456</v>
      </c>
      <c r="F240" s="446"/>
      <c r="G240" s="446"/>
      <c r="H240" s="446"/>
    </row>
    <row r="241" spans="1:4" ht="12.75" customHeight="1">
      <c r="A241" s="454">
        <f t="shared" si="20"/>
        <v>41548</v>
      </c>
      <c r="B241" s="14">
        <v>41548</v>
      </c>
      <c r="C241" s="1012">
        <v>0.0448</v>
      </c>
      <c r="D241" s="670">
        <f t="shared" si="19"/>
        <v>0</v>
      </c>
    </row>
    <row r="242" spans="1:4" ht="12.75" customHeight="1">
      <c r="A242" s="454">
        <f t="shared" si="20"/>
        <v>41579</v>
      </c>
      <c r="B242" s="14">
        <v>41579</v>
      </c>
      <c r="C242" s="1012">
        <v>0.0446</v>
      </c>
      <c r="D242" s="670">
        <f t="shared" si="19"/>
        <v>0</v>
      </c>
    </row>
    <row r="243" spans="1:5" ht="12.75" customHeight="1">
      <c r="A243" s="454">
        <f t="shared" si="20"/>
        <v>41609</v>
      </c>
      <c r="B243" s="14">
        <v>41609</v>
      </c>
      <c r="C243" s="1012">
        <v>0.0444</v>
      </c>
      <c r="D243" s="670">
        <f t="shared" si="19"/>
        <v>0</v>
      </c>
      <c r="E243" s="292"/>
    </row>
    <row r="244" spans="1:4" ht="12.75" customHeight="1">
      <c r="A244" s="454">
        <f t="shared" si="20"/>
        <v>41640</v>
      </c>
      <c r="B244" s="14">
        <v>41640</v>
      </c>
      <c r="C244" s="1012">
        <v>0.0441</v>
      </c>
      <c r="D244" s="670">
        <f t="shared" si="19"/>
        <v>0</v>
      </c>
    </row>
    <row r="245" spans="1:4" ht="12.75" customHeight="1">
      <c r="A245" s="454">
        <f t="shared" si="20"/>
        <v>41671</v>
      </c>
      <c r="B245" s="14">
        <v>41671</v>
      </c>
      <c r="C245" s="1012">
        <v>0.0439</v>
      </c>
      <c r="D245" s="670">
        <f t="shared" si="19"/>
        <v>0</v>
      </c>
    </row>
    <row r="246" spans="1:4" ht="12.75" customHeight="1">
      <c r="A246" s="454">
        <f t="shared" si="20"/>
        <v>41699</v>
      </c>
      <c r="B246" s="14">
        <v>41699</v>
      </c>
      <c r="C246" s="1012">
        <v>0.0437</v>
      </c>
      <c r="D246" s="670">
        <f t="shared" si="19"/>
        <v>0</v>
      </c>
    </row>
    <row r="247" spans="1:4" ht="12.75" customHeight="1">
      <c r="A247" s="454">
        <f t="shared" si="20"/>
        <v>41730</v>
      </c>
      <c r="B247" s="14">
        <v>41730</v>
      </c>
      <c r="C247" s="1012">
        <v>0.0435</v>
      </c>
      <c r="D247" s="670">
        <f t="shared" si="19"/>
        <v>0</v>
      </c>
    </row>
    <row r="248" spans="1:6" ht="12.75" customHeight="1">
      <c r="A248" s="454">
        <f aca="true" t="shared" si="21" ref="A248:A304">IF(C248&gt;0,B248,0)</f>
        <v>41760</v>
      </c>
      <c r="B248" s="14">
        <v>41760</v>
      </c>
      <c r="C248" s="1012">
        <v>0.0433</v>
      </c>
      <c r="D248" s="670">
        <f t="shared" si="19"/>
        <v>0</v>
      </c>
      <c r="F248" s="292" t="s">
        <v>457</v>
      </c>
    </row>
    <row r="249" spans="1:4" ht="12.75" customHeight="1">
      <c r="A249" s="454">
        <f t="shared" si="21"/>
        <v>41791</v>
      </c>
      <c r="B249" s="14">
        <v>41791</v>
      </c>
      <c r="C249" s="1012">
        <v>0.0431</v>
      </c>
      <c r="D249" s="670">
        <f t="shared" si="19"/>
        <v>0</v>
      </c>
    </row>
    <row r="250" spans="1:4" ht="12.75" customHeight="1">
      <c r="A250" s="454">
        <f t="shared" si="21"/>
        <v>41821</v>
      </c>
      <c r="B250" s="14">
        <v>41821</v>
      </c>
      <c r="C250" s="1012">
        <v>0.0429</v>
      </c>
      <c r="D250" s="670">
        <f t="shared" si="19"/>
        <v>0</v>
      </c>
    </row>
    <row r="251" spans="1:4" ht="12.75" customHeight="1">
      <c r="A251" s="454">
        <f t="shared" si="21"/>
        <v>41852</v>
      </c>
      <c r="B251" s="14">
        <v>41852</v>
      </c>
      <c r="C251" s="1012">
        <v>0.0428</v>
      </c>
      <c r="D251" s="670">
        <f t="shared" si="19"/>
        <v>0</v>
      </c>
    </row>
    <row r="252" spans="1:4" ht="12.75" customHeight="1">
      <c r="A252" s="454">
        <f t="shared" si="21"/>
        <v>41883</v>
      </c>
      <c r="B252" s="14">
        <v>41883</v>
      </c>
      <c r="C252" s="1012">
        <v>0.0426</v>
      </c>
      <c r="D252" s="670">
        <f t="shared" si="19"/>
        <v>0</v>
      </c>
    </row>
    <row r="253" spans="1:4" ht="12.75" customHeight="1">
      <c r="A253" s="454">
        <f t="shared" si="21"/>
        <v>41913</v>
      </c>
      <c r="B253" s="14">
        <v>41913</v>
      </c>
      <c r="C253" s="1012">
        <v>0.0424</v>
      </c>
      <c r="D253" s="670">
        <f t="shared" si="19"/>
        <v>0</v>
      </c>
    </row>
    <row r="254" spans="1:4" ht="12.75" customHeight="1">
      <c r="A254" s="454">
        <f t="shared" si="21"/>
        <v>0</v>
      </c>
      <c r="B254" s="14">
        <v>41944</v>
      </c>
      <c r="C254" s="451"/>
      <c r="D254" s="670">
        <f t="shared" si="19"/>
        <v>0.0424</v>
      </c>
    </row>
    <row r="255" spans="1:4" ht="12.75" customHeight="1">
      <c r="A255" s="454">
        <f t="shared" si="21"/>
        <v>0</v>
      </c>
      <c r="B255" s="14">
        <v>41974</v>
      </c>
      <c r="C255" s="451"/>
      <c r="D255" s="670">
        <f t="shared" si="19"/>
        <v>0.0424</v>
      </c>
    </row>
    <row r="256" spans="1:4" ht="12.75" customHeight="1">
      <c r="A256" s="454">
        <f t="shared" si="21"/>
        <v>0</v>
      </c>
      <c r="B256" s="14">
        <v>42005</v>
      </c>
      <c r="C256" s="451"/>
      <c r="D256" s="670">
        <f t="shared" si="19"/>
        <v>0.0424</v>
      </c>
    </row>
    <row r="257" spans="1:4" ht="12.75" customHeight="1">
      <c r="A257" s="454">
        <f t="shared" si="21"/>
        <v>0</v>
      </c>
      <c r="B257" s="14">
        <v>42036</v>
      </c>
      <c r="C257" s="451"/>
      <c r="D257" s="670">
        <f t="shared" si="19"/>
        <v>0.0424</v>
      </c>
    </row>
    <row r="258" spans="1:4" ht="12.75" customHeight="1">
      <c r="A258" s="454">
        <f t="shared" si="21"/>
        <v>0</v>
      </c>
      <c r="B258" s="14">
        <v>42064</v>
      </c>
      <c r="C258" s="451"/>
      <c r="D258" s="670">
        <f t="shared" si="19"/>
        <v>0.0424</v>
      </c>
    </row>
    <row r="259" spans="1:4" ht="12.75" customHeight="1">
      <c r="A259" s="454">
        <f t="shared" si="21"/>
        <v>0</v>
      </c>
      <c r="B259" s="14">
        <v>42095</v>
      </c>
      <c r="C259" s="451"/>
      <c r="D259" s="670">
        <f t="shared" si="19"/>
        <v>0.0424</v>
      </c>
    </row>
    <row r="260" spans="1:4" ht="12.75" customHeight="1">
      <c r="A260" s="454">
        <f t="shared" si="21"/>
        <v>0</v>
      </c>
      <c r="B260" s="14">
        <v>42125</v>
      </c>
      <c r="C260" s="451"/>
      <c r="D260" s="670">
        <f t="shared" si="19"/>
        <v>0.0424</v>
      </c>
    </row>
    <row r="261" spans="1:4" ht="12.75" customHeight="1">
      <c r="A261" s="454">
        <f t="shared" si="21"/>
        <v>0</v>
      </c>
      <c r="B261" s="14">
        <v>42156</v>
      </c>
      <c r="C261" s="451"/>
      <c r="D261" s="670">
        <f t="shared" si="19"/>
        <v>0.0424</v>
      </c>
    </row>
    <row r="262" spans="1:4" ht="12.75" customHeight="1">
      <c r="A262" s="454">
        <f t="shared" si="21"/>
        <v>0</v>
      </c>
      <c r="B262" s="14">
        <v>42186</v>
      </c>
      <c r="C262" s="451"/>
      <c r="D262" s="670">
        <f t="shared" si="19"/>
        <v>0.0424</v>
      </c>
    </row>
    <row r="263" spans="1:4" ht="12.75" customHeight="1">
      <c r="A263" s="454">
        <f t="shared" si="21"/>
        <v>0</v>
      </c>
      <c r="B263" s="14">
        <v>42217</v>
      </c>
      <c r="C263" s="451"/>
      <c r="D263" s="670">
        <f t="shared" si="19"/>
        <v>0.0424</v>
      </c>
    </row>
    <row r="264" spans="1:4" ht="12.75" customHeight="1">
      <c r="A264" s="454">
        <f t="shared" si="21"/>
        <v>0</v>
      </c>
      <c r="B264" s="14">
        <v>42248</v>
      </c>
      <c r="C264" s="451"/>
      <c r="D264" s="670">
        <f t="shared" si="19"/>
        <v>0.0424</v>
      </c>
    </row>
    <row r="265" spans="1:4" ht="12.75" customHeight="1">
      <c r="A265" s="454">
        <f t="shared" si="21"/>
        <v>0</v>
      </c>
      <c r="B265" s="14">
        <v>42278</v>
      </c>
      <c r="C265" s="451"/>
      <c r="D265" s="670">
        <f t="shared" si="19"/>
        <v>0.0424</v>
      </c>
    </row>
    <row r="266" spans="1:4" ht="12.75" customHeight="1">
      <c r="A266" s="454">
        <f t="shared" si="21"/>
        <v>0</v>
      </c>
      <c r="B266" s="14">
        <v>42309</v>
      </c>
      <c r="C266" s="451"/>
      <c r="D266" s="670">
        <f t="shared" si="19"/>
        <v>0.0424</v>
      </c>
    </row>
    <row r="267" spans="1:4" ht="12.75" customHeight="1">
      <c r="A267" s="454">
        <f t="shared" si="21"/>
        <v>0</v>
      </c>
      <c r="B267" s="14">
        <v>42339</v>
      </c>
      <c r="C267" s="451"/>
      <c r="D267" s="670">
        <f t="shared" si="19"/>
        <v>0.0424</v>
      </c>
    </row>
    <row r="268" spans="1:4" ht="12.75">
      <c r="A268" s="454">
        <f t="shared" si="21"/>
        <v>0</v>
      </c>
      <c r="B268" s="14">
        <v>42370</v>
      </c>
      <c r="C268" s="451"/>
      <c r="D268" s="670">
        <f t="shared" si="19"/>
        <v>0.0424</v>
      </c>
    </row>
    <row r="269" spans="1:4" ht="12.75">
      <c r="A269" s="454">
        <f t="shared" si="21"/>
        <v>0</v>
      </c>
      <c r="B269" s="14">
        <v>42401</v>
      </c>
      <c r="C269" s="451"/>
      <c r="D269" s="670">
        <f t="shared" si="19"/>
        <v>0.0424</v>
      </c>
    </row>
    <row r="270" spans="1:4" ht="12.75">
      <c r="A270" s="454">
        <f t="shared" si="21"/>
        <v>0</v>
      </c>
      <c r="B270" s="14">
        <v>42430</v>
      </c>
      <c r="C270" s="451"/>
      <c r="D270" s="670">
        <f t="shared" si="19"/>
        <v>0.0424</v>
      </c>
    </row>
    <row r="271" spans="1:4" ht="12.75">
      <c r="A271" s="454">
        <f t="shared" si="21"/>
        <v>0</v>
      </c>
      <c r="B271" s="14">
        <v>42461</v>
      </c>
      <c r="C271" s="451"/>
      <c r="D271" s="670">
        <f t="shared" si="19"/>
        <v>0.0424</v>
      </c>
    </row>
    <row r="272" spans="1:4" ht="12.75">
      <c r="A272" s="454">
        <f t="shared" si="21"/>
        <v>0</v>
      </c>
      <c r="B272" s="14">
        <v>42491</v>
      </c>
      <c r="C272" s="451"/>
      <c r="D272" s="670">
        <f t="shared" si="19"/>
        <v>0.0424</v>
      </c>
    </row>
    <row r="273" spans="1:4" ht="12.75">
      <c r="A273" s="454">
        <f t="shared" si="21"/>
        <v>0</v>
      </c>
      <c r="B273" s="14">
        <v>42522</v>
      </c>
      <c r="C273" s="451"/>
      <c r="D273" s="670">
        <f t="shared" si="19"/>
        <v>0.0424</v>
      </c>
    </row>
    <row r="274" spans="1:4" ht="12.75">
      <c r="A274" s="454">
        <f t="shared" si="21"/>
        <v>0</v>
      </c>
      <c r="B274" s="14">
        <v>42552</v>
      </c>
      <c r="C274" s="451"/>
      <c r="D274" s="670">
        <f aca="true" t="shared" si="22" ref="D274:D303">IF(C274&gt;0,0,C273+D273)</f>
        <v>0.0424</v>
      </c>
    </row>
    <row r="275" spans="1:4" ht="12.75">
      <c r="A275" s="454">
        <f t="shared" si="21"/>
        <v>0</v>
      </c>
      <c r="B275" s="14">
        <v>42583</v>
      </c>
      <c r="C275" s="451"/>
      <c r="D275" s="670">
        <f t="shared" si="22"/>
        <v>0.0424</v>
      </c>
    </row>
    <row r="276" spans="1:4" ht="12.75">
      <c r="A276" s="454">
        <f t="shared" si="21"/>
        <v>0</v>
      </c>
      <c r="B276" s="14">
        <v>42614</v>
      </c>
      <c r="C276" s="451"/>
      <c r="D276" s="670">
        <f t="shared" si="22"/>
        <v>0.0424</v>
      </c>
    </row>
    <row r="277" spans="1:4" ht="12.75">
      <c r="A277" s="454">
        <f t="shared" si="21"/>
        <v>0</v>
      </c>
      <c r="B277" s="14">
        <v>42644</v>
      </c>
      <c r="C277" s="451"/>
      <c r="D277" s="670">
        <f t="shared" si="22"/>
        <v>0.0424</v>
      </c>
    </row>
    <row r="278" spans="1:4" ht="12.75">
      <c r="A278" s="454">
        <f t="shared" si="21"/>
        <v>0</v>
      </c>
      <c r="B278" s="14">
        <v>42675</v>
      </c>
      <c r="C278" s="451"/>
      <c r="D278" s="670">
        <f t="shared" si="22"/>
        <v>0.0424</v>
      </c>
    </row>
    <row r="279" spans="1:4" ht="12.75">
      <c r="A279" s="454">
        <f t="shared" si="21"/>
        <v>0</v>
      </c>
      <c r="B279" s="14">
        <v>42705</v>
      </c>
      <c r="C279" s="451"/>
      <c r="D279" s="670">
        <f t="shared" si="22"/>
        <v>0.0424</v>
      </c>
    </row>
    <row r="280" spans="1:4" ht="12.75">
      <c r="A280" s="454">
        <f t="shared" si="21"/>
        <v>0</v>
      </c>
      <c r="B280" s="14">
        <v>42736</v>
      </c>
      <c r="C280" s="451"/>
      <c r="D280" s="670">
        <f t="shared" si="22"/>
        <v>0.0424</v>
      </c>
    </row>
    <row r="281" spans="1:4" ht="12.75">
      <c r="A281" s="454">
        <f t="shared" si="21"/>
        <v>0</v>
      </c>
      <c r="B281" s="14">
        <v>42767</v>
      </c>
      <c r="C281" s="451"/>
      <c r="D281" s="670">
        <f t="shared" si="22"/>
        <v>0.0424</v>
      </c>
    </row>
    <row r="282" spans="1:4" ht="12.75">
      <c r="A282" s="454">
        <f t="shared" si="21"/>
        <v>0</v>
      </c>
      <c r="B282" s="14">
        <v>42795</v>
      </c>
      <c r="C282" s="451"/>
      <c r="D282" s="670">
        <f t="shared" si="22"/>
        <v>0.0424</v>
      </c>
    </row>
    <row r="283" spans="1:4" ht="12.75">
      <c r="A283" s="454">
        <f t="shared" si="21"/>
        <v>0</v>
      </c>
      <c r="B283" s="14">
        <v>42826</v>
      </c>
      <c r="C283" s="451"/>
      <c r="D283" s="670">
        <f t="shared" si="22"/>
        <v>0.0424</v>
      </c>
    </row>
    <row r="284" spans="1:4" ht="12.75">
      <c r="A284" s="454">
        <f t="shared" si="21"/>
        <v>0</v>
      </c>
      <c r="B284" s="14">
        <v>42856</v>
      </c>
      <c r="C284" s="451"/>
      <c r="D284" s="670">
        <f t="shared" si="22"/>
        <v>0.0424</v>
      </c>
    </row>
    <row r="285" spans="1:4" ht="12.75">
      <c r="A285" s="454">
        <f t="shared" si="21"/>
        <v>0</v>
      </c>
      <c r="B285" s="14">
        <v>42887</v>
      </c>
      <c r="C285" s="451"/>
      <c r="D285" s="670">
        <f t="shared" si="22"/>
        <v>0.0424</v>
      </c>
    </row>
    <row r="286" spans="1:4" ht="12.75">
      <c r="A286" s="454">
        <f t="shared" si="21"/>
        <v>0</v>
      </c>
      <c r="B286" s="14">
        <v>42917</v>
      </c>
      <c r="C286" s="451"/>
      <c r="D286" s="670">
        <f t="shared" si="22"/>
        <v>0.0424</v>
      </c>
    </row>
    <row r="287" spans="1:4" ht="12.75">
      <c r="A287" s="454">
        <f t="shared" si="21"/>
        <v>0</v>
      </c>
      <c r="B287" s="14">
        <v>42948</v>
      </c>
      <c r="C287" s="451"/>
      <c r="D287" s="670">
        <f t="shared" si="22"/>
        <v>0.0424</v>
      </c>
    </row>
    <row r="288" spans="1:4" ht="12.75">
      <c r="A288" s="454">
        <f t="shared" si="21"/>
        <v>0</v>
      </c>
      <c r="B288" s="14">
        <v>42979</v>
      </c>
      <c r="C288" s="451"/>
      <c r="D288" s="670">
        <f t="shared" si="22"/>
        <v>0.0424</v>
      </c>
    </row>
    <row r="289" spans="1:4" ht="12.75">
      <c r="A289" s="454">
        <f t="shared" si="21"/>
        <v>0</v>
      </c>
      <c r="B289" s="14">
        <v>43009</v>
      </c>
      <c r="C289" s="451"/>
      <c r="D289" s="670">
        <f t="shared" si="22"/>
        <v>0.0424</v>
      </c>
    </row>
    <row r="290" spans="1:4" ht="12.75">
      <c r="A290" s="454">
        <f t="shared" si="21"/>
        <v>0</v>
      </c>
      <c r="B290" s="14">
        <v>43040</v>
      </c>
      <c r="C290" s="451"/>
      <c r="D290" s="670">
        <f t="shared" si="22"/>
        <v>0.0424</v>
      </c>
    </row>
    <row r="291" spans="1:4" ht="12.75">
      <c r="A291" s="454">
        <f t="shared" si="21"/>
        <v>0</v>
      </c>
      <c r="B291" s="14">
        <v>43070</v>
      </c>
      <c r="C291" s="451"/>
      <c r="D291" s="670">
        <f t="shared" si="22"/>
        <v>0.0424</v>
      </c>
    </row>
    <row r="292" spans="1:4" ht="12.75">
      <c r="A292" s="454">
        <f t="shared" si="21"/>
        <v>0</v>
      </c>
      <c r="B292" s="14">
        <v>43101</v>
      </c>
      <c r="C292" s="451"/>
      <c r="D292" s="670">
        <f t="shared" si="22"/>
        <v>0.0424</v>
      </c>
    </row>
    <row r="293" spans="1:4" ht="12.75">
      <c r="A293" s="454">
        <f t="shared" si="21"/>
        <v>0</v>
      </c>
      <c r="B293" s="14">
        <v>43132</v>
      </c>
      <c r="C293" s="451"/>
      <c r="D293" s="670">
        <f t="shared" si="22"/>
        <v>0.0424</v>
      </c>
    </row>
    <row r="294" spans="1:4" ht="12.75">
      <c r="A294" s="454">
        <f t="shared" si="21"/>
        <v>0</v>
      </c>
      <c r="B294" s="14">
        <v>43160</v>
      </c>
      <c r="C294" s="451"/>
      <c r="D294" s="670">
        <f t="shared" si="22"/>
        <v>0.0424</v>
      </c>
    </row>
    <row r="295" spans="1:4" ht="12.75">
      <c r="A295" s="454">
        <f t="shared" si="21"/>
        <v>0</v>
      </c>
      <c r="B295" s="14">
        <v>43191</v>
      </c>
      <c r="C295" s="451"/>
      <c r="D295" s="670">
        <f t="shared" si="22"/>
        <v>0.0424</v>
      </c>
    </row>
    <row r="296" spans="1:4" ht="12.75">
      <c r="A296" s="454">
        <f t="shared" si="21"/>
        <v>0</v>
      </c>
      <c r="B296" s="14">
        <v>43221</v>
      </c>
      <c r="C296" s="451"/>
      <c r="D296" s="670">
        <f t="shared" si="22"/>
        <v>0.0424</v>
      </c>
    </row>
    <row r="297" spans="1:4" ht="12.75">
      <c r="A297" s="454">
        <f t="shared" si="21"/>
        <v>0</v>
      </c>
      <c r="B297" s="14">
        <v>43252</v>
      </c>
      <c r="C297" s="451"/>
      <c r="D297" s="670">
        <f t="shared" si="22"/>
        <v>0.0424</v>
      </c>
    </row>
    <row r="298" spans="1:4" ht="12.75">
      <c r="A298" s="454">
        <f t="shared" si="21"/>
        <v>0</v>
      </c>
      <c r="B298" s="14">
        <v>43282</v>
      </c>
      <c r="C298" s="451"/>
      <c r="D298" s="670">
        <f t="shared" si="22"/>
        <v>0.0424</v>
      </c>
    </row>
    <row r="299" spans="1:4" ht="12.75">
      <c r="A299" s="454">
        <f t="shared" si="21"/>
        <v>0</v>
      </c>
      <c r="B299" s="14">
        <v>43313</v>
      </c>
      <c r="C299" s="451"/>
      <c r="D299" s="670">
        <f t="shared" si="22"/>
        <v>0.0424</v>
      </c>
    </row>
    <row r="300" spans="1:4" ht="12.75">
      <c r="A300" s="454">
        <f t="shared" si="21"/>
        <v>0</v>
      </c>
      <c r="B300" s="14">
        <v>43344</v>
      </c>
      <c r="C300" s="451"/>
      <c r="D300" s="670">
        <f t="shared" si="22"/>
        <v>0.0424</v>
      </c>
    </row>
    <row r="301" spans="1:4" ht="12.75">
      <c r="A301" s="454">
        <f t="shared" si="21"/>
        <v>0</v>
      </c>
      <c r="B301" s="14">
        <v>43374</v>
      </c>
      <c r="C301" s="451"/>
      <c r="D301" s="670">
        <f t="shared" si="22"/>
        <v>0.0424</v>
      </c>
    </row>
    <row r="302" spans="1:4" ht="12.75">
      <c r="A302" s="454">
        <f t="shared" si="21"/>
        <v>0</v>
      </c>
      <c r="B302" s="14">
        <v>43405</v>
      </c>
      <c r="C302" s="451"/>
      <c r="D302" s="670">
        <f t="shared" si="22"/>
        <v>0.0424</v>
      </c>
    </row>
    <row r="303" spans="1:4" ht="13.5" thickBot="1">
      <c r="A303" s="454">
        <f t="shared" si="21"/>
        <v>0</v>
      </c>
      <c r="B303" s="14">
        <v>43435</v>
      </c>
      <c r="C303" s="451"/>
      <c r="D303" s="671">
        <f t="shared" si="22"/>
        <v>0.0424</v>
      </c>
    </row>
    <row r="304" spans="1:3" ht="12.75" customHeight="1" thickBot="1">
      <c r="A304" s="454">
        <f t="shared" si="21"/>
        <v>0</v>
      </c>
      <c r="B304" s="455"/>
      <c r="C304" s="453" t="s">
        <v>91</v>
      </c>
    </row>
    <row r="306" ht="12.75">
      <c r="B306" s="245"/>
    </row>
  </sheetData>
  <sheetProtection password="DB37" sheet="1" objects="1" scenarios="1"/>
  <mergeCells count="30">
    <mergeCell ref="J31:M32"/>
    <mergeCell ref="J28:M29"/>
    <mergeCell ref="A58:H58"/>
    <mergeCell ref="G24:H25"/>
    <mergeCell ref="J41:M42"/>
    <mergeCell ref="A24:F24"/>
    <mergeCell ref="G56:H56"/>
    <mergeCell ref="G43:H43"/>
    <mergeCell ref="A56:D56"/>
    <mergeCell ref="D30:E30"/>
    <mergeCell ref="A4:E4"/>
    <mergeCell ref="F4:G4"/>
    <mergeCell ref="A25:F25"/>
    <mergeCell ref="G28:H28"/>
    <mergeCell ref="A6:H6"/>
    <mergeCell ref="A19:G19"/>
    <mergeCell ref="A8:H8"/>
    <mergeCell ref="A12:G12"/>
    <mergeCell ref="A13:G13"/>
    <mergeCell ref="A14:G14"/>
    <mergeCell ref="E94:F94"/>
    <mergeCell ref="D36:E36"/>
    <mergeCell ref="D33:E33"/>
    <mergeCell ref="D28:E28"/>
    <mergeCell ref="D64:F64"/>
    <mergeCell ref="A54:F54"/>
    <mergeCell ref="A52:F52"/>
    <mergeCell ref="E93:F93"/>
    <mergeCell ref="E56:F56"/>
    <mergeCell ref="A50:C50"/>
  </mergeCells>
  <printOptions/>
  <pageMargins left="0.78" right="0.24" top="0.45" bottom="0.4" header="0.2755905511811024" footer="0.2362204724409449"/>
  <pageSetup fitToHeight="0" fitToWidth="1" horizontalDpi="600" verticalDpi="600" orientation="portrait" paperSize="9" scale="87" r:id="rId2"/>
  <headerFooter alignWithMargins="0">
    <oddFooter>&amp;L&amp;F&amp;R&amp;A</oddFooter>
  </headerFooter>
  <rowBreaks count="1" manualBreakCount="1">
    <brk id="56"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M304"/>
  <sheetViews>
    <sheetView zoomScale="90" zoomScaleNormal="90" zoomScalePageLayoutView="0" workbookViewId="0" topLeftCell="A214">
      <selection activeCell="A6" sqref="A6:H6"/>
    </sheetView>
  </sheetViews>
  <sheetFormatPr defaultColWidth="11.421875" defaultRowHeight="12.75"/>
  <cols>
    <col min="1" max="1" width="8.421875" style="245" customWidth="1"/>
    <col min="2" max="2" width="13.140625" style="246" customWidth="1"/>
    <col min="3" max="3" width="14.28125" style="245" customWidth="1"/>
    <col min="4" max="4" width="7.421875" style="245" customWidth="1"/>
    <col min="5" max="5" width="10.421875" style="245" customWidth="1"/>
    <col min="6" max="6" width="15.140625" style="245" customWidth="1"/>
    <col min="7" max="7" width="17.28125" style="245" customWidth="1"/>
    <col min="8" max="8" width="20.421875" style="245" customWidth="1"/>
    <col min="9" max="9" width="1.57421875" style="245" customWidth="1"/>
    <col min="10" max="10" width="33.28125" style="245" bestFit="1" customWidth="1"/>
    <col min="11" max="16384" width="11.421875" style="245" customWidth="1"/>
  </cols>
  <sheetData>
    <row r="1" spans="1:8" ht="23.25" customHeight="1">
      <c r="A1" s="456" t="s">
        <v>228</v>
      </c>
      <c r="B1" s="457"/>
      <c r="C1" s="457"/>
      <c r="D1" s="817">
        <f>IF(OR(H19&gt;0,Antrag!K26=0,AND(Antrag!H15="x",Antrag!I15=0,Antrag!I16="x")),"","Anlage entfällt")</f>
      </c>
      <c r="E1" s="457"/>
      <c r="F1" s="457"/>
      <c r="G1" s="458"/>
      <c r="H1" s="459"/>
    </row>
    <row r="2" spans="1:8" ht="20.25" customHeight="1">
      <c r="A2" s="460" t="s">
        <v>374</v>
      </c>
      <c r="B2" s="461"/>
      <c r="C2" s="461"/>
      <c r="D2" s="461"/>
      <c r="E2" s="461"/>
      <c r="F2" s="461"/>
      <c r="G2" s="462"/>
      <c r="H2" s="463"/>
    </row>
    <row r="3" spans="1:8" ht="27" customHeight="1">
      <c r="A3" s="464" t="s">
        <v>50</v>
      </c>
      <c r="B3" s="461"/>
      <c r="C3" s="461"/>
      <c r="D3" s="461"/>
      <c r="E3" s="461"/>
      <c r="F3" s="461"/>
      <c r="G3" s="465" t="s">
        <v>225</v>
      </c>
      <c r="H3" s="466">
        <f>MAX(A97:A112)</f>
        <v>41395</v>
      </c>
    </row>
    <row r="4" spans="1:8" ht="27" customHeight="1" thickBot="1">
      <c r="A4" s="1338" t="s">
        <v>51</v>
      </c>
      <c r="B4" s="1339"/>
      <c r="C4" s="1339"/>
      <c r="D4" s="1339"/>
      <c r="E4" s="1339"/>
      <c r="F4" s="1340" t="s">
        <v>322</v>
      </c>
      <c r="G4" s="1341"/>
      <c r="H4" s="467">
        <f>MAX(A119:A304)</f>
        <v>41913</v>
      </c>
    </row>
    <row r="5" spans="2:8" ht="6.75" customHeight="1">
      <c r="B5" s="397"/>
      <c r="C5" s="446"/>
      <c r="D5" s="446"/>
      <c r="E5" s="446"/>
      <c r="F5" s="446"/>
      <c r="G5" s="446"/>
      <c r="H5" s="446"/>
    </row>
    <row r="6" spans="1:8" ht="47.25" customHeight="1">
      <c r="A6" s="1347" t="s">
        <v>343</v>
      </c>
      <c r="B6" s="1348"/>
      <c r="C6" s="1348"/>
      <c r="D6" s="1348"/>
      <c r="E6" s="1348"/>
      <c r="F6" s="1348"/>
      <c r="G6" s="1348"/>
      <c r="H6" s="1349"/>
    </row>
    <row r="7" spans="2:8" ht="8.25" customHeight="1">
      <c r="B7" s="397"/>
      <c r="C7" s="446"/>
      <c r="D7" s="446"/>
      <c r="E7" s="446"/>
      <c r="F7" s="446"/>
      <c r="G7" s="446"/>
      <c r="H7" s="446"/>
    </row>
    <row r="8" spans="1:8" ht="25.5" customHeight="1">
      <c r="A8" s="1353">
        <f>Antrag!B5</f>
        <v>0</v>
      </c>
      <c r="B8" s="1354"/>
      <c r="C8" s="1354"/>
      <c r="D8" s="1354"/>
      <c r="E8" s="1354"/>
      <c r="F8" s="1354"/>
      <c r="G8" s="1354"/>
      <c r="H8" s="1354"/>
    </row>
    <row r="9" spans="1:8" ht="11.25" customHeight="1">
      <c r="A9" s="347" t="s">
        <v>184</v>
      </c>
      <c r="B9" s="397"/>
      <c r="C9" s="446"/>
      <c r="D9" s="446"/>
      <c r="E9" s="446"/>
      <c r="F9" s="446"/>
      <c r="G9" s="446"/>
      <c r="H9" s="446"/>
    </row>
    <row r="10" spans="1:10" s="283" customFormat="1" ht="20.25" customHeight="1">
      <c r="A10" s="468" t="s">
        <v>111</v>
      </c>
      <c r="B10" s="469"/>
      <c r="C10" s="470"/>
      <c r="D10" s="470"/>
      <c r="E10" s="470"/>
      <c r="F10" s="470"/>
      <c r="G10" s="470"/>
      <c r="H10" s="470"/>
      <c r="J10" s="245"/>
    </row>
    <row r="11" spans="2:8" ht="8.25" customHeight="1" thickBot="1">
      <c r="B11" s="397"/>
      <c r="C11" s="446"/>
      <c r="D11" s="446"/>
      <c r="E11" s="446"/>
      <c r="F11" s="446"/>
      <c r="G11" s="446"/>
      <c r="H11" s="446"/>
    </row>
    <row r="12" spans="1:8" ht="13.5" thickBot="1">
      <c r="A12" s="1114" t="s">
        <v>282</v>
      </c>
      <c r="B12" s="1253"/>
      <c r="C12" s="1253"/>
      <c r="D12" s="1253"/>
      <c r="E12" s="1253"/>
      <c r="F12" s="1253"/>
      <c r="G12" s="1356"/>
      <c r="H12" s="633">
        <f>IF(AND(Antrag!K12="Erstantrag",Antrag!H10&gt;0),Antrag!H10,IF(Antrag!K40=0,"",Antrag!K40))</f>
      </c>
    </row>
    <row r="13" spans="1:8" ht="15" customHeight="1">
      <c r="A13" s="1114" t="s">
        <v>108</v>
      </c>
      <c r="B13" s="1253"/>
      <c r="C13" s="1253"/>
      <c r="D13" s="1253"/>
      <c r="E13" s="1253"/>
      <c r="F13" s="1253"/>
      <c r="G13" s="1356"/>
      <c r="H13" s="634">
        <f>Antrag!K28</f>
        <v>0</v>
      </c>
    </row>
    <row r="14" spans="1:8" ht="15" customHeight="1" thickBot="1">
      <c r="A14" s="1114" t="s">
        <v>84</v>
      </c>
      <c r="B14" s="1253"/>
      <c r="C14" s="1253"/>
      <c r="D14" s="1253"/>
      <c r="E14" s="1253"/>
      <c r="F14" s="1253"/>
      <c r="G14" s="1395"/>
      <c r="H14" s="820">
        <f>Antrag!K26</f>
        <v>0</v>
      </c>
    </row>
    <row r="15" spans="1:8" ht="12.75">
      <c r="A15" s="404" t="s">
        <v>118</v>
      </c>
      <c r="B15" s="404"/>
      <c r="C15" s="404"/>
      <c r="D15" s="404"/>
      <c r="E15" s="404"/>
      <c r="F15" s="340"/>
      <c r="G15" s="559">
        <f>IF(H15=0,0,ROUND(H15/H13,2))</f>
        <v>0</v>
      </c>
      <c r="H15" s="819">
        <f>Antrag!K33</f>
        <v>0</v>
      </c>
    </row>
    <row r="16" spans="1:8" ht="13.5" customHeight="1" thickBot="1">
      <c r="A16" s="404" t="s">
        <v>269</v>
      </c>
      <c r="B16" s="340"/>
      <c r="C16" s="404"/>
      <c r="D16" s="404"/>
      <c r="E16" s="404"/>
      <c r="F16" s="404"/>
      <c r="G16" s="559">
        <f>IF(H16=0,0,ROUND(H16/H13,2))</f>
        <v>0</v>
      </c>
      <c r="H16" s="639">
        <f>Antrag!K34</f>
        <v>0</v>
      </c>
    </row>
    <row r="17" spans="1:7" s="340" customFormat="1" ht="20.25" customHeight="1" thickBot="1" thickTop="1">
      <c r="A17" s="1329" t="s">
        <v>337</v>
      </c>
      <c r="B17" s="1303"/>
      <c r="C17" s="1303"/>
      <c r="D17" s="1303"/>
      <c r="E17" s="1303"/>
      <c r="F17" s="1303"/>
      <c r="G17" s="1303"/>
    </row>
    <row r="18" spans="1:8" ht="13.5" customHeight="1" thickBot="1">
      <c r="A18" s="500" t="str">
        <f>IF(Antrag!K12&lt;&gt;"Folgeantrag","1.a)  Aktuelle Inventarmiete zum Zeitpunkt des Erstantrages:","1.a)  entfällt")</f>
        <v>1.a)  Aktuelle Inventarmiete zum Zeitpunkt des Erstantrages:</v>
      </c>
      <c r="B18" s="412"/>
      <c r="C18" s="412"/>
      <c r="D18" s="412"/>
      <c r="E18" s="412"/>
      <c r="F18" s="412"/>
      <c r="G18" s="830" t="str">
        <f>IF(Antrag!K12&lt;&gt;"Folgeantrag","[lt. vorgelegten Mietverträgen]","")</f>
        <v>[lt. vorgelegten Mietverträgen]</v>
      </c>
      <c r="H18" s="823">
        <f>IF(Antrag!K12="Erstantrag",Antrag!K38,0)</f>
        <v>0</v>
      </c>
    </row>
    <row r="19" spans="1:8" s="340" customFormat="1" ht="27.75" customHeight="1" thickBot="1" thickTop="1">
      <c r="A19" s="1350" t="str">
        <f>IF(Antrag!K12="Folgeantrag","1.b)  Damals aktuelle Inventarmiete zum Zeitpunkt der erstmaligen Antragstellung;
         vgl. ersten Zustimmungsbescheid zur Neu-/Umbaumaßnahme","1.b)  entfällt")</f>
        <v>1.b)  entfällt</v>
      </c>
      <c r="B19" s="1351"/>
      <c r="C19" s="1351"/>
      <c r="D19" s="1351"/>
      <c r="E19" s="1351"/>
      <c r="F19" s="1351"/>
      <c r="G19" s="1352"/>
      <c r="H19" s="638"/>
    </row>
    <row r="20" spans="1:7" ht="21.75" customHeight="1" thickBot="1" thickTop="1">
      <c r="A20" s="827" t="str">
        <f>IF(OR(Antrag!K12="",Antrag!H15="x",Antrag!H16="x"),"2.)    Bau- und Einrichtungskosten des Gebäudeeigentümers       ","2.)    entfällt")</f>
        <v>2.)    Bau- und Einrichtungskosten des Gebäudeeigentümers       </v>
      </c>
      <c r="G20" s="811" t="str">
        <f>IF(A20="2.)    entfällt","","[lt. Anlage 4 Kostennachweis]")</f>
        <v>[lt. Anlage 4 Kostennachweis]</v>
      </c>
    </row>
    <row r="21" spans="1:8" ht="15.75" customHeight="1">
      <c r="A21" s="1277" t="str">
        <f>IF(OR(Antrag!K12="",AND(Antrag!H15="x",Antrag!K44="vorläufiger KN")),"2.a)  Zum Zeitpunkt der erstmaligen Zustimmung (vorläufiger Kostennachweis bei Inbetriebnahme)","2.a)  entfällt")</f>
        <v>2.a)  Zum Zeitpunkt der erstmaligen Zustimmung (vorläufiger Kostennachweis bei Inbetriebnahme)</v>
      </c>
      <c r="B21" s="1277"/>
      <c r="C21" s="1277"/>
      <c r="D21" s="1277"/>
      <c r="E21" s="1277"/>
      <c r="F21" s="1277"/>
      <c r="G21" s="1277"/>
      <c r="H21" s="826">
        <f>IF(A21="2.a)  entfällt",0,Antrag!K43)</f>
        <v>0</v>
      </c>
    </row>
    <row r="22" spans="1:8" ht="16.5" customHeight="1" thickBot="1">
      <c r="A22" s="1393" t="str">
        <f>IF(Antrag!K44="endgültiger KN","2.b)  Erster endgültiger Kostennachweis nach Inbetriebnahme","2.b)  entfällt")</f>
        <v>2.b)  entfällt</v>
      </c>
      <c r="B22" s="1362"/>
      <c r="C22" s="1362"/>
      <c r="D22" s="1362"/>
      <c r="E22" s="1362"/>
      <c r="F22" s="1362"/>
      <c r="G22" s="1362"/>
      <c r="H22" s="825">
        <f>IF(A22="2.b)  entfällt",0,Antrag!K43)</f>
        <v>0</v>
      </c>
    </row>
    <row r="23" spans="2:8" ht="8.25" customHeight="1" thickBot="1">
      <c r="B23" s="397"/>
      <c r="C23" s="446"/>
      <c r="D23" s="446"/>
      <c r="E23" s="446"/>
      <c r="F23" s="446"/>
      <c r="G23" s="446"/>
      <c r="H23" s="446"/>
    </row>
    <row r="24" spans="1:8" ht="13.5" customHeight="1">
      <c r="A24" s="1372" t="s">
        <v>52</v>
      </c>
      <c r="B24" s="1112"/>
      <c r="C24" s="1112"/>
      <c r="D24" s="1112"/>
      <c r="E24" s="1112"/>
      <c r="F24" s="1373"/>
      <c r="G24" s="1366">
        <f>H14</f>
        <v>0</v>
      </c>
      <c r="H24" s="1367"/>
    </row>
    <row r="25" spans="1:8" ht="25.5" customHeight="1" thickBot="1">
      <c r="A25" s="1342" t="s">
        <v>61</v>
      </c>
      <c r="B25" s="1343"/>
      <c r="C25" s="1343"/>
      <c r="D25" s="1343"/>
      <c r="E25" s="1343"/>
      <c r="F25" s="1344"/>
      <c r="G25" s="1368"/>
      <c r="H25" s="1369"/>
    </row>
    <row r="26" spans="1:8" ht="6.75" customHeight="1">
      <c r="A26" s="337"/>
      <c r="B26" s="404"/>
      <c r="C26" s="350"/>
      <c r="D26" s="350"/>
      <c r="E26" s="350"/>
      <c r="F26" s="350"/>
      <c r="G26" s="350"/>
      <c r="H26" s="350"/>
    </row>
    <row r="27" spans="1:8" ht="12.75">
      <c r="A27" s="473" t="s">
        <v>119</v>
      </c>
      <c r="B27" s="340"/>
      <c r="C27" s="350"/>
      <c r="D27" s="350"/>
      <c r="E27" s="350"/>
      <c r="F27" s="350"/>
      <c r="G27" s="474"/>
      <c r="H27" s="474"/>
    </row>
    <row r="28" spans="1:13" ht="12.75">
      <c r="A28" s="337"/>
      <c r="B28" s="340"/>
      <c r="C28" s="475">
        <f>IF(D1="Anlage entfällt",0,G16)</f>
        <v>0</v>
      </c>
      <c r="D28" s="337"/>
      <c r="E28" s="476" t="s">
        <v>58</v>
      </c>
      <c r="F28" s="560">
        <f>IF(OR(H14="Tagespflege",H14="Nachtpflege"),VLOOKUP(H12,C97:F112,4),IF('Anlg.3 Berechnung'!F19="ja",VLOOKUP(H12,C97:F112,3),1705))</f>
        <v>1705</v>
      </c>
      <c r="G28" s="506" t="s">
        <v>57</v>
      </c>
      <c r="H28" s="561">
        <f>IF(F28&gt;0,ROUND(C28*F28,0),ROUND(C28*F30,0))</f>
        <v>0</v>
      </c>
      <c r="J28" s="1361"/>
      <c r="K28" s="1362"/>
      <c r="L28" s="1362"/>
      <c r="M28" s="1362"/>
    </row>
    <row r="29" spans="1:13" ht="12.75">
      <c r="A29" s="337"/>
      <c r="B29" s="562" t="s">
        <v>120</v>
      </c>
      <c r="C29" s="561">
        <f>H28</f>
        <v>0</v>
      </c>
      <c r="D29" s="337"/>
      <c r="E29" s="476" t="s">
        <v>58</v>
      </c>
      <c r="F29" s="563">
        <f>H13</f>
        <v>0</v>
      </c>
      <c r="G29" s="506" t="s">
        <v>57</v>
      </c>
      <c r="H29" s="564">
        <f>H28*F29</f>
        <v>0</v>
      </c>
      <c r="J29" s="1362"/>
      <c r="K29" s="1362"/>
      <c r="L29" s="1362"/>
      <c r="M29" s="1362"/>
    </row>
    <row r="30" spans="1:10" ht="12.75" customHeight="1">
      <c r="A30" s="337"/>
      <c r="B30" s="337"/>
      <c r="C30" s="653">
        <f>IF(D30="","","Beispielrechnung Stand")</f>
      </c>
      <c r="D30" s="1394">
        <f>IF(OR(F28=1705,H12=""),"",IF(H12-609&gt;MAX(A97:A112),H12,""))</f>
      </c>
      <c r="E30" s="1112"/>
      <c r="F30" s="945">
        <f>IF(C30="",0,IF(OR(H14="Tagespflege",H14="Nachtpflege"),MAX(H97:H112),IF('Anlg.3 Berechnung'!F19="ja",MAX(G97:G112),1705)))</f>
        <v>0</v>
      </c>
      <c r="G30" s="337"/>
      <c r="H30" s="337"/>
      <c r="J30" s="193"/>
    </row>
    <row r="31" spans="1:8" ht="12.75" customHeight="1">
      <c r="A31" s="473" t="str">
        <f>IF(Antrag!K12&lt;&gt;"Folgeantrag","2.)    abzüglich Bau- und/oder Einrichtungskosten zum Zeitpunkt des Erstantrages (gesamt)","2.)    abzüglich Bau- und/oder Einrichtungskosten lt. endgültigem Kostennachweis")</f>
        <v>2.)    abzüglich Bau- und/oder Einrichtungskosten zum Zeitpunkt des Erstantrages (gesamt)</v>
      </c>
      <c r="B31" s="340"/>
      <c r="C31" s="350"/>
      <c r="D31" s="350"/>
      <c r="E31" s="350"/>
      <c r="F31" s="350"/>
      <c r="G31" s="337"/>
      <c r="H31" s="564">
        <f>H22+H21</f>
        <v>0</v>
      </c>
    </row>
    <row r="32" spans="1:8" ht="12.75">
      <c r="A32" s="337"/>
      <c r="B32" s="340"/>
      <c r="C32" s="337"/>
      <c r="D32" s="337"/>
      <c r="E32" s="337"/>
      <c r="F32" s="337"/>
      <c r="G32" s="337"/>
      <c r="H32" s="337"/>
    </row>
    <row r="33" spans="1:8" ht="12.75">
      <c r="A33" s="562" t="s">
        <v>121</v>
      </c>
      <c r="B33" s="337"/>
      <c r="C33" s="337"/>
      <c r="D33" s="337"/>
      <c r="E33" s="337"/>
      <c r="F33" s="506"/>
      <c r="G33" s="337"/>
      <c r="H33" s="565">
        <f>IF(H29-H31&lt;0,0,H29-H31)</f>
        <v>0</v>
      </c>
    </row>
    <row r="34" spans="1:8" ht="8.25" customHeight="1">
      <c r="A34" s="337"/>
      <c r="B34" s="337"/>
      <c r="C34" s="337"/>
      <c r="D34" s="337"/>
      <c r="E34" s="337"/>
      <c r="F34" s="337"/>
      <c r="G34" s="337"/>
      <c r="H34" s="337"/>
    </row>
    <row r="35" spans="1:8" ht="12.75">
      <c r="A35" s="566" t="s">
        <v>122</v>
      </c>
      <c r="B35" s="407"/>
      <c r="C35" s="407"/>
      <c r="D35" s="407"/>
      <c r="E35" s="407"/>
      <c r="F35" s="407"/>
      <c r="G35" s="407"/>
      <c r="H35" s="567"/>
    </row>
    <row r="36" spans="1:8" ht="54" customHeight="1">
      <c r="A36" s="1384" t="s">
        <v>338</v>
      </c>
      <c r="B36" s="1385"/>
      <c r="C36" s="1385"/>
      <c r="D36" s="1385"/>
      <c r="E36" s="1385"/>
      <c r="F36" s="1385"/>
      <c r="G36" s="1385"/>
      <c r="H36" s="1386"/>
    </row>
    <row r="37" spans="1:8" ht="7.5" customHeight="1">
      <c r="A37" s="337"/>
      <c r="B37" s="404"/>
      <c r="C37" s="350"/>
      <c r="D37" s="350"/>
      <c r="E37" s="350"/>
      <c r="F37" s="350"/>
      <c r="G37" s="337"/>
      <c r="H37" s="337"/>
    </row>
    <row r="38" spans="1:8" ht="26.25" customHeight="1">
      <c r="A38" s="568" t="s">
        <v>123</v>
      </c>
      <c r="B38" s="497"/>
      <c r="C38" s="497"/>
      <c r="D38" s="497"/>
      <c r="E38" s="497"/>
      <c r="F38" s="497"/>
      <c r="G38" s="337"/>
      <c r="H38" s="337"/>
    </row>
    <row r="39" spans="1:8" ht="6.75" customHeight="1">
      <c r="A39" s="337"/>
      <c r="B39" s="404"/>
      <c r="C39" s="350"/>
      <c r="D39" s="350"/>
      <c r="E39" s="350"/>
      <c r="F39" s="350"/>
      <c r="G39" s="350"/>
      <c r="H39" s="350"/>
    </row>
    <row r="40" spans="1:10" s="449" customFormat="1" ht="15" customHeight="1">
      <c r="A40" s="500" t="s">
        <v>124</v>
      </c>
      <c r="B40" s="390"/>
      <c r="C40" s="501"/>
      <c r="D40" s="501"/>
      <c r="E40" s="501"/>
      <c r="F40" s="501"/>
      <c r="G40" s="569"/>
      <c r="H40" s="390"/>
      <c r="J40" s="245"/>
    </row>
    <row r="41" spans="1:8" ht="12.75">
      <c r="A41" s="337"/>
      <c r="B41" s="517"/>
      <c r="C41" s="506"/>
      <c r="D41" s="506"/>
      <c r="E41" s="518"/>
      <c r="F41" s="339" t="s">
        <v>125</v>
      </c>
      <c r="G41" s="519">
        <f>H33</f>
        <v>0</v>
      </c>
      <c r="H41" s="390"/>
    </row>
    <row r="42" spans="1:8" ht="12.75">
      <c r="A42" s="337"/>
      <c r="B42" s="340"/>
      <c r="C42" s="503"/>
      <c r="D42" s="503"/>
      <c r="E42" s="503"/>
      <c r="F42" s="520" t="s">
        <v>373</v>
      </c>
      <c r="G42" s="521">
        <f>H12</f>
      </c>
      <c r="H42" s="667">
        <f>IF(G43&gt;0,"",H4)</f>
        <v>41913</v>
      </c>
    </row>
    <row r="43" spans="1:8" ht="13.5" thickBot="1">
      <c r="A43" s="337"/>
      <c r="B43" s="340"/>
      <c r="C43" s="503"/>
      <c r="D43" s="503"/>
      <c r="E43" s="503"/>
      <c r="F43" s="520" t="s">
        <v>126</v>
      </c>
      <c r="G43" s="522">
        <f>IF(G42="",0,VLOOKUP(G42,B119:C304,2))</f>
        <v>0</v>
      </c>
      <c r="H43" s="672">
        <f>IF(G43=0,MAX(D119:D304),"")</f>
        <v>0.0424</v>
      </c>
    </row>
    <row r="44" spans="1:10" ht="16.5" customHeight="1" thickBot="1">
      <c r="A44" s="1335" t="s">
        <v>112</v>
      </c>
      <c r="B44" s="1336"/>
      <c r="C44" s="1337"/>
      <c r="D44" s="503"/>
      <c r="E44" s="503"/>
      <c r="F44" s="520" t="s">
        <v>127</v>
      </c>
      <c r="G44" s="948">
        <f>IF(G43=0,(-PMT((H43),25,100000,0,0)/100000-(H43)),(-PMT((G43),25,100000,0,0)/100000-(G43)))</f>
        <v>0.023245997293091868</v>
      </c>
      <c r="H44" s="949">
        <f>IF(G43=0,ROUND(+(25*(-PMT(H43,25,G41,0,0))-G41)/25,0),ROUND(+(25*(-PMT(G43,25,G41,0,0))-G41)/25,0))</f>
        <v>0</v>
      </c>
      <c r="J44" s="943"/>
    </row>
    <row r="45" spans="1:10" ht="12.75" customHeight="1" thickBot="1">
      <c r="A45" s="337"/>
      <c r="B45" s="404"/>
      <c r="C45" s="350"/>
      <c r="D45" s="350"/>
      <c r="E45" s="350"/>
      <c r="F45" s="350"/>
      <c r="G45" s="350"/>
      <c r="H45" s="350"/>
      <c r="J45" s="943"/>
    </row>
    <row r="46" spans="1:10" ht="15.75" thickBot="1">
      <c r="A46" s="473" t="s">
        <v>128</v>
      </c>
      <c r="B46" s="526"/>
      <c r="C46" s="526"/>
      <c r="D46" s="526"/>
      <c r="E46" s="526"/>
      <c r="F46" s="571">
        <f>IF(H19&gt;0,H19,H18)</f>
        <v>0</v>
      </c>
      <c r="G46" s="572" t="s">
        <v>129</v>
      </c>
      <c r="H46" s="570">
        <f>ROUND(F46*0.3,0)</f>
        <v>0</v>
      </c>
      <c r="J46" s="943"/>
    </row>
    <row r="47" spans="1:10" ht="12.75" customHeight="1" thickBot="1">
      <c r="A47" s="337"/>
      <c r="B47" s="404"/>
      <c r="C47" s="350"/>
      <c r="D47" s="350"/>
      <c r="E47" s="350"/>
      <c r="F47" s="350"/>
      <c r="G47" s="350"/>
      <c r="H47" s="350"/>
      <c r="J47" s="943"/>
    </row>
    <row r="48" spans="1:10" s="283" customFormat="1" ht="36.75" customHeight="1" thickBot="1">
      <c r="A48" s="1387" t="s">
        <v>7</v>
      </c>
      <c r="B48" s="1118"/>
      <c r="C48" s="1118"/>
      <c r="D48" s="1118"/>
      <c r="E48" s="1118"/>
      <c r="F48" s="1119"/>
      <c r="G48" s="1388">
        <f>MIN(H44,H46)</f>
        <v>0</v>
      </c>
      <c r="H48" s="1375"/>
      <c r="I48" s="245"/>
      <c r="J48" s="959"/>
    </row>
    <row r="49" spans="1:10" s="283" customFormat="1" ht="24.75" customHeight="1">
      <c r="A49" s="1389" t="s">
        <v>292</v>
      </c>
      <c r="B49" s="1390"/>
      <c r="C49" s="1390"/>
      <c r="D49" s="1390"/>
      <c r="E49" s="1390"/>
      <c r="F49" s="1390"/>
      <c r="G49" s="681" t="s">
        <v>291</v>
      </c>
      <c r="H49" s="682">
        <f>G48/3*10</f>
        <v>0</v>
      </c>
      <c r="I49" s="245"/>
      <c r="J49" s="245"/>
    </row>
    <row r="50" spans="1:8" ht="21.75" customHeight="1">
      <c r="A50" s="337"/>
      <c r="B50" s="404"/>
      <c r="C50" s="350"/>
      <c r="D50" s="350"/>
      <c r="E50" s="350"/>
      <c r="F50" s="350"/>
      <c r="G50" s="350"/>
      <c r="H50" s="350"/>
    </row>
    <row r="51" spans="1:8" ht="12.75" customHeight="1">
      <c r="A51" s="573" t="s">
        <v>130</v>
      </c>
      <c r="B51" s="574"/>
      <c r="C51" s="828"/>
      <c r="D51" s="574"/>
      <c r="E51" s="574"/>
      <c r="F51" s="574"/>
      <c r="G51" s="574"/>
      <c r="H51" s="829" t="s">
        <v>339</v>
      </c>
    </row>
    <row r="52" spans="1:8" ht="12.75" customHeight="1">
      <c r="A52" s="575"/>
      <c r="B52" s="404"/>
      <c r="C52" s="404" t="s">
        <v>131</v>
      </c>
      <c r="D52" s="404"/>
      <c r="E52" s="404"/>
      <c r="F52" s="503" t="s">
        <v>132</v>
      </c>
      <c r="G52" s="576">
        <f>ROUND(1000*3520/76700,0)</f>
        <v>46</v>
      </c>
      <c r="H52" s="577">
        <f>G52/(G52+G53)</f>
        <v>0.2948717948717949</v>
      </c>
    </row>
    <row r="53" spans="1:8" ht="12.75" customHeight="1">
      <c r="A53" s="578"/>
      <c r="B53" s="579"/>
      <c r="C53" s="579"/>
      <c r="D53" s="579"/>
      <c r="E53" s="579"/>
      <c r="F53" s="580" t="s">
        <v>133</v>
      </c>
      <c r="G53" s="581">
        <v>110</v>
      </c>
      <c r="H53" s="582">
        <f>100%-H52</f>
        <v>0.7051282051282051</v>
      </c>
    </row>
    <row r="54" spans="1:8" ht="17.25" customHeight="1" thickBot="1">
      <c r="A54" s="337"/>
      <c r="B54" s="404"/>
      <c r="C54" s="350"/>
      <c r="D54" s="350"/>
      <c r="E54" s="350"/>
      <c r="F54" s="350"/>
      <c r="G54" s="350"/>
      <c r="H54" s="350"/>
    </row>
    <row r="55" spans="1:10" s="283" customFormat="1" ht="65.25" customHeight="1" thickBot="1" thickTop="1">
      <c r="A55" s="1363" t="s">
        <v>229</v>
      </c>
      <c r="B55" s="1364"/>
      <c r="C55" s="1364"/>
      <c r="D55" s="1364"/>
      <c r="E55" s="1364"/>
      <c r="F55" s="1364"/>
      <c r="G55" s="1364"/>
      <c r="H55" s="1365"/>
      <c r="I55" s="245"/>
      <c r="J55" s="944"/>
    </row>
    <row r="56" spans="1:8" ht="14.25" thickBot="1" thickTop="1">
      <c r="A56" s="340"/>
      <c r="B56" s="337"/>
      <c r="C56" s="337"/>
      <c r="D56" s="337"/>
      <c r="E56" s="337"/>
      <c r="F56" s="337"/>
      <c r="G56" s="337"/>
      <c r="H56" s="337"/>
    </row>
    <row r="57" spans="1:9" s="283" customFormat="1" ht="19.5" customHeight="1" thickTop="1">
      <c r="A57" s="19" t="s">
        <v>92</v>
      </c>
      <c r="B57" s="20" t="s">
        <v>93</v>
      </c>
      <c r="C57" s="21" t="s">
        <v>94</v>
      </c>
      <c r="D57" s="529" t="s">
        <v>95</v>
      </c>
      <c r="E57" s="20" t="s">
        <v>96</v>
      </c>
      <c r="F57" s="529" t="s">
        <v>97</v>
      </c>
      <c r="G57" s="20" t="s">
        <v>98</v>
      </c>
      <c r="H57" s="22" t="s">
        <v>96</v>
      </c>
      <c r="I57" s="245"/>
    </row>
    <row r="58" spans="1:9" s="283" customFormat="1" ht="19.5" customHeight="1">
      <c r="A58" s="23"/>
      <c r="B58" s="24" t="s">
        <v>106</v>
      </c>
      <c r="C58" s="25" t="s">
        <v>107</v>
      </c>
      <c r="D58" s="530" t="s">
        <v>99</v>
      </c>
      <c r="E58" s="24" t="s">
        <v>100</v>
      </c>
      <c r="F58" s="530" t="s">
        <v>99</v>
      </c>
      <c r="G58" s="24"/>
      <c r="H58" s="26" t="s">
        <v>101</v>
      </c>
      <c r="I58" s="245"/>
    </row>
    <row r="59" spans="1:9" s="283" customFormat="1" ht="19.5" customHeight="1" thickBot="1">
      <c r="A59" s="27"/>
      <c r="B59" s="28" t="s">
        <v>104</v>
      </c>
      <c r="C59" s="29" t="s">
        <v>102</v>
      </c>
      <c r="D59" s="531" t="s">
        <v>103</v>
      </c>
      <c r="E59" s="28" t="s">
        <v>104</v>
      </c>
      <c r="F59" s="531" t="s">
        <v>103</v>
      </c>
      <c r="G59" s="30"/>
      <c r="H59" s="31" t="s">
        <v>104</v>
      </c>
      <c r="I59" s="245"/>
    </row>
    <row r="60" spans="1:10" s="283" customFormat="1" ht="19.5" customHeight="1">
      <c r="A60" s="32">
        <v>1</v>
      </c>
      <c r="B60" s="33">
        <f>G41</f>
        <v>0</v>
      </c>
      <c r="C60" s="34">
        <f>B60-H60</f>
        <v>0</v>
      </c>
      <c r="D60" s="532">
        <f>IF(G43&gt;0,G43*100,H43*100)</f>
        <v>4.24</v>
      </c>
      <c r="E60" s="35">
        <f>B60*D60/100/12*(13-A60)</f>
        <v>0</v>
      </c>
      <c r="F60" s="533">
        <f>IF(D60=0,0,100*(-PMT((D60/100),25,100000,0,0)/100000-(D60/100)))</f>
        <v>2.324599729309187</v>
      </c>
      <c r="G60" s="35">
        <f>(D60+F60)/100*B60/12*(13-A60)</f>
        <v>0</v>
      </c>
      <c r="H60" s="36">
        <f>G60-E60</f>
        <v>0</v>
      </c>
      <c r="I60" s="245"/>
      <c r="J60" s="245"/>
    </row>
    <row r="61" spans="1:9" s="283" customFormat="1" ht="19.5" customHeight="1" thickBot="1">
      <c r="A61" s="37">
        <v>1</v>
      </c>
      <c r="B61" s="38"/>
      <c r="C61" s="39"/>
      <c r="D61" s="1324">
        <f>B60*D60/100</f>
        <v>0</v>
      </c>
      <c r="E61" s="1325"/>
      <c r="F61" s="1326"/>
      <c r="G61" s="38"/>
      <c r="H61" s="40"/>
      <c r="I61" s="245"/>
    </row>
    <row r="62" spans="1:9" s="283" customFormat="1" ht="19.5" customHeight="1" thickTop="1">
      <c r="A62" s="41">
        <f aca="true" t="shared" si="0" ref="A62:A85">A61+1</f>
        <v>2</v>
      </c>
      <c r="B62" s="35">
        <f>C60</f>
        <v>0</v>
      </c>
      <c r="C62" s="34">
        <f>IF(C60=0,0,B62-H62)</f>
        <v>0</v>
      </c>
      <c r="D62" s="534">
        <f>D60</f>
        <v>4.24</v>
      </c>
      <c r="E62" s="35">
        <f aca="true" t="shared" si="1" ref="E62:E87">B62*D62/100</f>
        <v>0</v>
      </c>
      <c r="F62" s="535">
        <f>F60</f>
        <v>2.324599729309187</v>
      </c>
      <c r="G62" s="35">
        <f aca="true" t="shared" si="2" ref="G62:G84">IF(E62=0,0,E62+H62)</f>
        <v>0</v>
      </c>
      <c r="H62" s="42">
        <f>IF(H60=0,0,IF(H60&gt;B62,B62,($B$60*(D62+F62)/100)-E62))</f>
        <v>0</v>
      </c>
      <c r="I62" s="245"/>
    </row>
    <row r="63" spans="1:8" s="283" customFormat="1" ht="19.5" customHeight="1">
      <c r="A63" s="41">
        <f t="shared" si="0"/>
        <v>3</v>
      </c>
      <c r="B63" s="35">
        <f aca="true" t="shared" si="3" ref="B63:B87">C62</f>
        <v>0</v>
      </c>
      <c r="C63" s="34">
        <f aca="true" t="shared" si="4" ref="C63:C87">IF(C62=0,0,B63-H63)</f>
        <v>0</v>
      </c>
      <c r="D63" s="534">
        <f aca="true" t="shared" si="5" ref="D63:D84">D62</f>
        <v>4.24</v>
      </c>
      <c r="E63" s="35">
        <f t="shared" si="1"/>
        <v>0</v>
      </c>
      <c r="F63" s="535">
        <f aca="true" t="shared" si="6" ref="F63:F84">F62</f>
        <v>2.324599729309187</v>
      </c>
      <c r="G63" s="35">
        <f t="shared" si="2"/>
        <v>0</v>
      </c>
      <c r="H63" s="42">
        <f>IF(H62=0,0,IF(H62&gt;B63,B63,($B$60*(D63+F63)/100)-E63))</f>
        <v>0</v>
      </c>
    </row>
    <row r="64" spans="1:8" s="283" customFormat="1" ht="19.5" customHeight="1">
      <c r="A64" s="41">
        <f t="shared" si="0"/>
        <v>4</v>
      </c>
      <c r="B64" s="35">
        <f t="shared" si="3"/>
        <v>0</v>
      </c>
      <c r="C64" s="34">
        <f t="shared" si="4"/>
        <v>0</v>
      </c>
      <c r="D64" s="534">
        <f t="shared" si="5"/>
        <v>4.24</v>
      </c>
      <c r="E64" s="35">
        <f t="shared" si="1"/>
        <v>0</v>
      </c>
      <c r="F64" s="535">
        <f t="shared" si="6"/>
        <v>2.324599729309187</v>
      </c>
      <c r="G64" s="35">
        <f t="shared" si="2"/>
        <v>0</v>
      </c>
      <c r="H64" s="42">
        <f>IF(H62=0,0,IF(H62&gt;B64,B64,($B$60*(D64+F64)/100)-E64))</f>
        <v>0</v>
      </c>
    </row>
    <row r="65" spans="1:8" s="283" customFormat="1" ht="19.5" customHeight="1">
      <c r="A65" s="41">
        <f t="shared" si="0"/>
        <v>5</v>
      </c>
      <c r="B65" s="35">
        <f t="shared" si="3"/>
        <v>0</v>
      </c>
      <c r="C65" s="34">
        <f t="shared" si="4"/>
        <v>0</v>
      </c>
      <c r="D65" s="534">
        <f t="shared" si="5"/>
        <v>4.24</v>
      </c>
      <c r="E65" s="35">
        <f t="shared" si="1"/>
        <v>0</v>
      </c>
      <c r="F65" s="535">
        <f t="shared" si="6"/>
        <v>2.324599729309187</v>
      </c>
      <c r="G65" s="35">
        <f t="shared" si="2"/>
        <v>0</v>
      </c>
      <c r="H65" s="42">
        <f>IF(H64=0,0,IF(H64&gt;B65,B65,($B$60*(D65+F65)/100)-E65))</f>
        <v>0</v>
      </c>
    </row>
    <row r="66" spans="1:8" s="283" customFormat="1" ht="19.5" customHeight="1">
      <c r="A66" s="41">
        <f t="shared" si="0"/>
        <v>6</v>
      </c>
      <c r="B66" s="35">
        <f t="shared" si="3"/>
        <v>0</v>
      </c>
      <c r="C66" s="34">
        <f t="shared" si="4"/>
        <v>0</v>
      </c>
      <c r="D66" s="534">
        <f t="shared" si="5"/>
        <v>4.24</v>
      </c>
      <c r="E66" s="35">
        <f t="shared" si="1"/>
        <v>0</v>
      </c>
      <c r="F66" s="535">
        <f t="shared" si="6"/>
        <v>2.324599729309187</v>
      </c>
      <c r="G66" s="35">
        <f t="shared" si="2"/>
        <v>0</v>
      </c>
      <c r="H66" s="42">
        <f>IF(H64=0,0,IF(H64&gt;B66,B66,($B$60*(D66+F66)/100)-E66))</f>
        <v>0</v>
      </c>
    </row>
    <row r="67" spans="1:8" s="283" customFormat="1" ht="19.5" customHeight="1">
      <c r="A67" s="41">
        <f t="shared" si="0"/>
        <v>7</v>
      </c>
      <c r="B67" s="35">
        <f t="shared" si="3"/>
        <v>0</v>
      </c>
      <c r="C67" s="34">
        <f t="shared" si="4"/>
        <v>0</v>
      </c>
      <c r="D67" s="534">
        <f t="shared" si="5"/>
        <v>4.24</v>
      </c>
      <c r="E67" s="35">
        <f t="shared" si="1"/>
        <v>0</v>
      </c>
      <c r="F67" s="535">
        <f t="shared" si="6"/>
        <v>2.324599729309187</v>
      </c>
      <c r="G67" s="35">
        <f t="shared" si="2"/>
        <v>0</v>
      </c>
      <c r="H67" s="42">
        <f>IF(H66=0,0,IF(H66&gt;B67,B67,($B$60*(D67+F67)/100)-E67))</f>
        <v>0</v>
      </c>
    </row>
    <row r="68" spans="1:8" s="283" customFormat="1" ht="19.5" customHeight="1">
      <c r="A68" s="41">
        <f t="shared" si="0"/>
        <v>8</v>
      </c>
      <c r="B68" s="35">
        <f t="shared" si="3"/>
        <v>0</v>
      </c>
      <c r="C68" s="34">
        <f t="shared" si="4"/>
        <v>0</v>
      </c>
      <c r="D68" s="534">
        <f t="shared" si="5"/>
        <v>4.24</v>
      </c>
      <c r="E68" s="35">
        <f t="shared" si="1"/>
        <v>0</v>
      </c>
      <c r="F68" s="535">
        <f t="shared" si="6"/>
        <v>2.324599729309187</v>
      </c>
      <c r="G68" s="35">
        <f t="shared" si="2"/>
        <v>0</v>
      </c>
      <c r="H68" s="42">
        <f>IF(H66=0,0,IF(H66&gt;B68,B68,($B$60*(D68+F68)/100)-E68))</f>
        <v>0</v>
      </c>
    </row>
    <row r="69" spans="1:8" s="283" customFormat="1" ht="19.5" customHeight="1">
      <c r="A69" s="41">
        <f t="shared" si="0"/>
        <v>9</v>
      </c>
      <c r="B69" s="35">
        <f t="shared" si="3"/>
        <v>0</v>
      </c>
      <c r="C69" s="34">
        <f t="shared" si="4"/>
        <v>0</v>
      </c>
      <c r="D69" s="534">
        <f t="shared" si="5"/>
        <v>4.24</v>
      </c>
      <c r="E69" s="35">
        <f t="shared" si="1"/>
        <v>0</v>
      </c>
      <c r="F69" s="535">
        <f t="shared" si="6"/>
        <v>2.324599729309187</v>
      </c>
      <c r="G69" s="35">
        <f t="shared" si="2"/>
        <v>0</v>
      </c>
      <c r="H69" s="42">
        <f>IF(H68=0,0,IF(H68&gt;B69,B69,($B$60*(D69+F69)/100)-E69))</f>
        <v>0</v>
      </c>
    </row>
    <row r="70" spans="1:8" s="283" customFormat="1" ht="19.5" customHeight="1">
      <c r="A70" s="41">
        <f t="shared" si="0"/>
        <v>10</v>
      </c>
      <c r="B70" s="35">
        <f t="shared" si="3"/>
        <v>0</v>
      </c>
      <c r="C70" s="34">
        <f t="shared" si="4"/>
        <v>0</v>
      </c>
      <c r="D70" s="534">
        <f t="shared" si="5"/>
        <v>4.24</v>
      </c>
      <c r="E70" s="35">
        <f t="shared" si="1"/>
        <v>0</v>
      </c>
      <c r="F70" s="535">
        <f t="shared" si="6"/>
        <v>2.324599729309187</v>
      </c>
      <c r="G70" s="35">
        <f t="shared" si="2"/>
        <v>0</v>
      </c>
      <c r="H70" s="42">
        <f>IF(H68=0,0,IF(H68&gt;B70,B70,($B$60*(D70+F70)/100)-E70))</f>
        <v>0</v>
      </c>
    </row>
    <row r="71" spans="1:8" s="283" customFormat="1" ht="19.5" customHeight="1">
      <c r="A71" s="41">
        <f t="shared" si="0"/>
        <v>11</v>
      </c>
      <c r="B71" s="35">
        <f t="shared" si="3"/>
        <v>0</v>
      </c>
      <c r="C71" s="34">
        <f t="shared" si="4"/>
        <v>0</v>
      </c>
      <c r="D71" s="534">
        <f t="shared" si="5"/>
        <v>4.24</v>
      </c>
      <c r="E71" s="35">
        <f t="shared" si="1"/>
        <v>0</v>
      </c>
      <c r="F71" s="535">
        <f t="shared" si="6"/>
        <v>2.324599729309187</v>
      </c>
      <c r="G71" s="35">
        <f t="shared" si="2"/>
        <v>0</v>
      </c>
      <c r="H71" s="42">
        <f>IF(H70=0,0,IF(H70&gt;B71,B71,($B$60*(D71+F71)/100)-E71))</f>
        <v>0</v>
      </c>
    </row>
    <row r="72" spans="1:8" s="283" customFormat="1" ht="19.5" customHeight="1">
      <c r="A72" s="41">
        <f t="shared" si="0"/>
        <v>12</v>
      </c>
      <c r="B72" s="35">
        <f t="shared" si="3"/>
        <v>0</v>
      </c>
      <c r="C72" s="34">
        <f t="shared" si="4"/>
        <v>0</v>
      </c>
      <c r="D72" s="534">
        <f t="shared" si="5"/>
        <v>4.24</v>
      </c>
      <c r="E72" s="35">
        <f t="shared" si="1"/>
        <v>0</v>
      </c>
      <c r="F72" s="535">
        <f t="shared" si="6"/>
        <v>2.324599729309187</v>
      </c>
      <c r="G72" s="35">
        <f t="shared" si="2"/>
        <v>0</v>
      </c>
      <c r="H72" s="42">
        <f>IF(H70=0,0,IF(H70&gt;B72,B72,($B$60*(D72+F72)/100)-E72))</f>
        <v>0</v>
      </c>
    </row>
    <row r="73" spans="1:8" s="283" customFormat="1" ht="19.5" customHeight="1">
      <c r="A73" s="41">
        <f t="shared" si="0"/>
        <v>13</v>
      </c>
      <c r="B73" s="35">
        <f t="shared" si="3"/>
        <v>0</v>
      </c>
      <c r="C73" s="34">
        <f t="shared" si="4"/>
        <v>0</v>
      </c>
      <c r="D73" s="534">
        <f t="shared" si="5"/>
        <v>4.24</v>
      </c>
      <c r="E73" s="35">
        <f t="shared" si="1"/>
        <v>0</v>
      </c>
      <c r="F73" s="535">
        <f t="shared" si="6"/>
        <v>2.324599729309187</v>
      </c>
      <c r="G73" s="35">
        <f t="shared" si="2"/>
        <v>0</v>
      </c>
      <c r="H73" s="42">
        <f>IF(H72=0,0,IF(H72&gt;B73,B73,($B$60*(D73+F73)/100)-E73))</f>
        <v>0</v>
      </c>
    </row>
    <row r="74" spans="1:8" s="283" customFormat="1" ht="19.5" customHeight="1">
      <c r="A74" s="41">
        <f t="shared" si="0"/>
        <v>14</v>
      </c>
      <c r="B74" s="35">
        <f t="shared" si="3"/>
        <v>0</v>
      </c>
      <c r="C74" s="34">
        <f t="shared" si="4"/>
        <v>0</v>
      </c>
      <c r="D74" s="534">
        <f t="shared" si="5"/>
        <v>4.24</v>
      </c>
      <c r="E74" s="35">
        <f t="shared" si="1"/>
        <v>0</v>
      </c>
      <c r="F74" s="535">
        <f t="shared" si="6"/>
        <v>2.324599729309187</v>
      </c>
      <c r="G74" s="35">
        <f t="shared" si="2"/>
        <v>0</v>
      </c>
      <c r="H74" s="42">
        <f>IF(H72=0,0,IF(H72&gt;B74,B74,($B$60*(D74+F74)/100)-E74))</f>
        <v>0</v>
      </c>
    </row>
    <row r="75" spans="1:8" s="283" customFormat="1" ht="19.5" customHeight="1">
      <c r="A75" s="41">
        <f t="shared" si="0"/>
        <v>15</v>
      </c>
      <c r="B75" s="35">
        <f t="shared" si="3"/>
        <v>0</v>
      </c>
      <c r="C75" s="34">
        <f t="shared" si="4"/>
        <v>0</v>
      </c>
      <c r="D75" s="534">
        <f t="shared" si="5"/>
        <v>4.24</v>
      </c>
      <c r="E75" s="35">
        <f t="shared" si="1"/>
        <v>0</v>
      </c>
      <c r="F75" s="535">
        <f t="shared" si="6"/>
        <v>2.324599729309187</v>
      </c>
      <c r="G75" s="35">
        <f t="shared" si="2"/>
        <v>0</v>
      </c>
      <c r="H75" s="42">
        <f>IF(H74=0,0,IF(H74&gt;B75,B75,($B$60*(D75+F75)/100)-E75))</f>
        <v>0</v>
      </c>
    </row>
    <row r="76" spans="1:8" s="283" customFormat="1" ht="19.5" customHeight="1">
      <c r="A76" s="41">
        <f t="shared" si="0"/>
        <v>16</v>
      </c>
      <c r="B76" s="35">
        <f t="shared" si="3"/>
        <v>0</v>
      </c>
      <c r="C76" s="34">
        <f t="shared" si="4"/>
        <v>0</v>
      </c>
      <c r="D76" s="534">
        <f t="shared" si="5"/>
        <v>4.24</v>
      </c>
      <c r="E76" s="35">
        <f t="shared" si="1"/>
        <v>0</v>
      </c>
      <c r="F76" s="535">
        <f t="shared" si="6"/>
        <v>2.324599729309187</v>
      </c>
      <c r="G76" s="35">
        <f t="shared" si="2"/>
        <v>0</v>
      </c>
      <c r="H76" s="42">
        <f>IF(H74=0,0,IF(H74&gt;B76,B76,($B$60*(D76+F76)/100)-E76))</f>
        <v>0</v>
      </c>
    </row>
    <row r="77" spans="1:8" s="283" customFormat="1" ht="19.5" customHeight="1">
      <c r="A77" s="41">
        <f>A76+1</f>
        <v>17</v>
      </c>
      <c r="B77" s="35">
        <f>C76</f>
        <v>0</v>
      </c>
      <c r="C77" s="34">
        <f t="shared" si="4"/>
        <v>0</v>
      </c>
      <c r="D77" s="534">
        <f>D76</f>
        <v>4.24</v>
      </c>
      <c r="E77" s="35">
        <f t="shared" si="1"/>
        <v>0</v>
      </c>
      <c r="F77" s="535">
        <f>F76</f>
        <v>2.324599729309187</v>
      </c>
      <c r="G77" s="35">
        <f>IF(E77=0,0,E77+H77)</f>
        <v>0</v>
      </c>
      <c r="H77" s="42">
        <f>IF(H76=0,0,IF(H76&gt;B77,B77,($B$60*(D77+F77)/100)-E77))</f>
        <v>0</v>
      </c>
    </row>
    <row r="78" spans="1:8" s="283" customFormat="1" ht="19.5" customHeight="1">
      <c r="A78" s="41">
        <f>A77+1</f>
        <v>18</v>
      </c>
      <c r="B78" s="35">
        <f>C77</f>
        <v>0</v>
      </c>
      <c r="C78" s="34">
        <f t="shared" si="4"/>
        <v>0</v>
      </c>
      <c r="D78" s="534">
        <f>D77</f>
        <v>4.24</v>
      </c>
      <c r="E78" s="35">
        <f t="shared" si="1"/>
        <v>0</v>
      </c>
      <c r="F78" s="535">
        <f>F77</f>
        <v>2.324599729309187</v>
      </c>
      <c r="G78" s="35">
        <f>IF(E78=0,0,E78+H78)</f>
        <v>0</v>
      </c>
      <c r="H78" s="42">
        <f>IF(H76=0,0,IF(H76&gt;B78,B78,($B$60*(D78+F78)/100)-E78))</f>
        <v>0</v>
      </c>
    </row>
    <row r="79" spans="1:8" s="283" customFormat="1" ht="19.5" customHeight="1">
      <c r="A79" s="41">
        <f t="shared" si="0"/>
        <v>19</v>
      </c>
      <c r="B79" s="35">
        <f t="shared" si="3"/>
        <v>0</v>
      </c>
      <c r="C79" s="34">
        <f t="shared" si="4"/>
        <v>0</v>
      </c>
      <c r="D79" s="534">
        <f t="shared" si="5"/>
        <v>4.24</v>
      </c>
      <c r="E79" s="35">
        <f t="shared" si="1"/>
        <v>0</v>
      </c>
      <c r="F79" s="535">
        <f t="shared" si="6"/>
        <v>2.324599729309187</v>
      </c>
      <c r="G79" s="35">
        <f t="shared" si="2"/>
        <v>0</v>
      </c>
      <c r="H79" s="42">
        <f>IF(H78=0,0,IF(H78&gt;B79,B79,($B$60*(D79+F79)/100)-E79))</f>
        <v>0</v>
      </c>
    </row>
    <row r="80" spans="1:8" s="283" customFormat="1" ht="19.5" customHeight="1">
      <c r="A80" s="41">
        <f t="shared" si="0"/>
        <v>20</v>
      </c>
      <c r="B80" s="35">
        <f t="shared" si="3"/>
        <v>0</v>
      </c>
      <c r="C80" s="34">
        <f t="shared" si="4"/>
        <v>0</v>
      </c>
      <c r="D80" s="534">
        <f t="shared" si="5"/>
        <v>4.24</v>
      </c>
      <c r="E80" s="35">
        <f t="shared" si="1"/>
        <v>0</v>
      </c>
      <c r="F80" s="535">
        <f t="shared" si="6"/>
        <v>2.324599729309187</v>
      </c>
      <c r="G80" s="35">
        <f t="shared" si="2"/>
        <v>0</v>
      </c>
      <c r="H80" s="42">
        <f>IF(H78=0,0,IF(H78&gt;B80,B80,($B$60*(D80+F80)/100)-E80))</f>
        <v>0</v>
      </c>
    </row>
    <row r="81" spans="1:8" s="283" customFormat="1" ht="19.5" customHeight="1">
      <c r="A81" s="41">
        <f t="shared" si="0"/>
        <v>21</v>
      </c>
      <c r="B81" s="35">
        <f t="shared" si="3"/>
        <v>0</v>
      </c>
      <c r="C81" s="34">
        <f t="shared" si="4"/>
        <v>0</v>
      </c>
      <c r="D81" s="534">
        <f t="shared" si="5"/>
        <v>4.24</v>
      </c>
      <c r="E81" s="35">
        <f t="shared" si="1"/>
        <v>0</v>
      </c>
      <c r="F81" s="535">
        <f t="shared" si="6"/>
        <v>2.324599729309187</v>
      </c>
      <c r="G81" s="35">
        <f t="shared" si="2"/>
        <v>0</v>
      </c>
      <c r="H81" s="42">
        <f>IF(H80=0,0,IF(H80&gt;B81,B81,($B$60*(D81+F81)/100)-E81))</f>
        <v>0</v>
      </c>
    </row>
    <row r="82" spans="1:8" s="283" customFormat="1" ht="19.5" customHeight="1">
      <c r="A82" s="41">
        <f t="shared" si="0"/>
        <v>22</v>
      </c>
      <c r="B82" s="35">
        <f t="shared" si="3"/>
        <v>0</v>
      </c>
      <c r="C82" s="34">
        <f t="shared" si="4"/>
        <v>0</v>
      </c>
      <c r="D82" s="534">
        <f t="shared" si="5"/>
        <v>4.24</v>
      </c>
      <c r="E82" s="35">
        <f t="shared" si="1"/>
        <v>0</v>
      </c>
      <c r="F82" s="535">
        <f t="shared" si="6"/>
        <v>2.324599729309187</v>
      </c>
      <c r="G82" s="35">
        <f t="shared" si="2"/>
        <v>0</v>
      </c>
      <c r="H82" s="42">
        <f>IF(H80=0,0,IF(H80&gt;B82,B82,($B$60*(D82+F82)/100)-E82))</f>
        <v>0</v>
      </c>
    </row>
    <row r="83" spans="1:8" s="283" customFormat="1" ht="19.5" customHeight="1">
      <c r="A83" s="41">
        <f t="shared" si="0"/>
        <v>23</v>
      </c>
      <c r="B83" s="35">
        <f t="shared" si="3"/>
        <v>0</v>
      </c>
      <c r="C83" s="34">
        <f t="shared" si="4"/>
        <v>0</v>
      </c>
      <c r="D83" s="534">
        <f t="shared" si="5"/>
        <v>4.24</v>
      </c>
      <c r="E83" s="35">
        <f t="shared" si="1"/>
        <v>0</v>
      </c>
      <c r="F83" s="535">
        <f t="shared" si="6"/>
        <v>2.324599729309187</v>
      </c>
      <c r="G83" s="35">
        <f t="shared" si="2"/>
        <v>0</v>
      </c>
      <c r="H83" s="42">
        <f>IF(H82=0,0,IF(H82&gt;B83,B83,($B$60*(D83+F83)/100)-E83))</f>
        <v>0</v>
      </c>
    </row>
    <row r="84" spans="1:8" s="283" customFormat="1" ht="19.5" customHeight="1">
      <c r="A84" s="41">
        <f t="shared" si="0"/>
        <v>24</v>
      </c>
      <c r="B84" s="35">
        <f t="shared" si="3"/>
        <v>0</v>
      </c>
      <c r="C84" s="34">
        <f t="shared" si="4"/>
        <v>0</v>
      </c>
      <c r="D84" s="534">
        <f t="shared" si="5"/>
        <v>4.24</v>
      </c>
      <c r="E84" s="35">
        <f t="shared" si="1"/>
        <v>0</v>
      </c>
      <c r="F84" s="535">
        <f t="shared" si="6"/>
        <v>2.324599729309187</v>
      </c>
      <c r="G84" s="35">
        <f t="shared" si="2"/>
        <v>0</v>
      </c>
      <c r="H84" s="42">
        <f>IF(H82=0,0,IF(H82&gt;B84,B84,($B$60*(D84+F84)/100)-E84))</f>
        <v>0</v>
      </c>
    </row>
    <row r="85" spans="1:8" s="283" customFormat="1" ht="19.5" customHeight="1">
      <c r="A85" s="41">
        <f t="shared" si="0"/>
        <v>25</v>
      </c>
      <c r="B85" s="35">
        <f t="shared" si="3"/>
        <v>0</v>
      </c>
      <c r="C85" s="34">
        <f t="shared" si="4"/>
        <v>0</v>
      </c>
      <c r="D85" s="534">
        <f>D84</f>
        <v>4.24</v>
      </c>
      <c r="E85" s="35">
        <f t="shared" si="1"/>
        <v>0</v>
      </c>
      <c r="F85" s="535">
        <f>F84</f>
        <v>2.324599729309187</v>
      </c>
      <c r="G85" s="35">
        <f>IF(E85=0,0,E85+H85)</f>
        <v>0</v>
      </c>
      <c r="H85" s="42">
        <f>IF(H84=0,0,IF(H84&gt;B85,B85,($B$60*(D85+F85)/100)-E85))</f>
        <v>0</v>
      </c>
    </row>
    <row r="86" spans="1:8" s="283" customFormat="1" ht="19.5" customHeight="1">
      <c r="A86" s="41">
        <f>A85+1</f>
        <v>26</v>
      </c>
      <c r="B86" s="43">
        <f t="shared" si="3"/>
        <v>0</v>
      </c>
      <c r="C86" s="34">
        <f t="shared" si="4"/>
        <v>0</v>
      </c>
      <c r="D86" s="534">
        <f>D85</f>
        <v>4.24</v>
      </c>
      <c r="E86" s="35">
        <f t="shared" si="1"/>
        <v>0</v>
      </c>
      <c r="F86" s="535">
        <f>F85</f>
        <v>2.324599729309187</v>
      </c>
      <c r="G86" s="35">
        <f>IF(E86=0,0,E86+H86)</f>
        <v>0</v>
      </c>
      <c r="H86" s="42">
        <f>IF(H84=0,0,IF(H84&gt;B86,B86,($B$60*(D86+F86)/100)-E86))</f>
        <v>0</v>
      </c>
    </row>
    <row r="87" spans="1:8" s="283" customFormat="1" ht="19.5" customHeight="1">
      <c r="A87" s="41">
        <f>A86+1</f>
        <v>27</v>
      </c>
      <c r="B87" s="35">
        <f t="shared" si="3"/>
        <v>0</v>
      </c>
      <c r="C87" s="34">
        <f t="shared" si="4"/>
        <v>0</v>
      </c>
      <c r="D87" s="534">
        <f>D86</f>
        <v>4.24</v>
      </c>
      <c r="E87" s="35">
        <f t="shared" si="1"/>
        <v>0</v>
      </c>
      <c r="F87" s="535">
        <f>F86</f>
        <v>2.324599729309187</v>
      </c>
      <c r="G87" s="35">
        <f>IF(E87=0,0,E87+H87)</f>
        <v>0</v>
      </c>
      <c r="H87" s="42">
        <f>IF(H86=0,0,IF(H86&gt;B87,B87,($B$60*(D87+F87)/100)-E87))</f>
        <v>0</v>
      </c>
    </row>
    <row r="88" spans="1:8" s="283" customFormat="1" ht="19.5" customHeight="1" thickBot="1">
      <c r="A88" s="44"/>
      <c r="B88" s="45"/>
      <c r="C88" s="46"/>
      <c r="D88" s="536"/>
      <c r="E88" s="45"/>
      <c r="F88" s="537"/>
      <c r="G88" s="45"/>
      <c r="H88" s="47"/>
    </row>
    <row r="89" spans="1:8" s="283" customFormat="1" ht="19.5" customHeight="1">
      <c r="A89" s="583"/>
      <c r="B89" s="584"/>
      <c r="C89" s="584"/>
      <c r="D89" s="584"/>
      <c r="E89" s="584"/>
      <c r="F89" s="584"/>
      <c r="G89" s="584"/>
      <c r="H89" s="585"/>
    </row>
    <row r="90" spans="1:8" s="283" customFormat="1" ht="19.5" customHeight="1">
      <c r="A90" s="586"/>
      <c r="B90" s="587" t="s">
        <v>109</v>
      </c>
      <c r="C90" s="343"/>
      <c r="D90" s="343"/>
      <c r="E90" s="1391">
        <f>SUM(E62:E89)+E60</f>
        <v>0</v>
      </c>
      <c r="F90" s="1392"/>
      <c r="G90" s="588"/>
      <c r="H90" s="589"/>
    </row>
    <row r="91" spans="1:8" ht="17.25">
      <c r="A91" s="590"/>
      <c r="B91" s="591"/>
      <c r="C91" s="591"/>
      <c r="D91" s="592" t="s">
        <v>105</v>
      </c>
      <c r="E91" s="1382">
        <f>E90/25</f>
        <v>0</v>
      </c>
      <c r="F91" s="1383"/>
      <c r="G91" s="593"/>
      <c r="H91" s="594"/>
    </row>
    <row r="92" spans="1:9" ht="13.5" thickBot="1">
      <c r="A92" s="595"/>
      <c r="B92" s="596"/>
      <c r="C92" s="596"/>
      <c r="D92" s="596"/>
      <c r="E92" s="596"/>
      <c r="F92" s="596"/>
      <c r="G92" s="597"/>
      <c r="H92" s="598"/>
      <c r="I92" s="450"/>
    </row>
    <row r="93" spans="1:8" ht="12.75">
      <c r="A93" s="337"/>
      <c r="B93" s="340"/>
      <c r="C93" s="337"/>
      <c r="D93" s="337"/>
      <c r="E93" s="337"/>
      <c r="F93" s="337"/>
      <c r="G93" s="337"/>
      <c r="H93" s="337"/>
    </row>
    <row r="94" spans="1:8" ht="12.75">
      <c r="A94" s="337"/>
      <c r="B94" s="6" t="s">
        <v>70</v>
      </c>
      <c r="C94" s="7"/>
      <c r="D94" s="7"/>
      <c r="E94" s="7"/>
      <c r="F94" s="8"/>
      <c r="G94" s="337"/>
      <c r="H94" s="337"/>
    </row>
    <row r="95" spans="1:8" ht="13.5" thickBot="1">
      <c r="A95" s="337"/>
      <c r="B95" s="9" t="s">
        <v>73</v>
      </c>
      <c r="C95" s="10"/>
      <c r="D95" s="10"/>
      <c r="E95" s="10"/>
      <c r="F95" s="11"/>
      <c r="G95" s="337"/>
      <c r="H95" s="337"/>
    </row>
    <row r="96" spans="1:8" ht="13.5" thickBot="1">
      <c r="A96" s="599"/>
      <c r="B96" s="9"/>
      <c r="C96" s="12" t="s">
        <v>71</v>
      </c>
      <c r="D96" s="13" t="s">
        <v>72</v>
      </c>
      <c r="E96" s="544" t="s">
        <v>82</v>
      </c>
      <c r="F96" s="545" t="s">
        <v>83</v>
      </c>
      <c r="G96" s="660" t="s">
        <v>287</v>
      </c>
      <c r="H96" s="661" t="s">
        <v>288</v>
      </c>
    </row>
    <row r="97" spans="1:8" ht="12.75">
      <c r="A97" s="674">
        <f>IF(D97&gt;0,37377,0)</f>
        <v>37377</v>
      </c>
      <c r="B97" s="16" t="s">
        <v>76</v>
      </c>
      <c r="C97" s="14">
        <v>37834</v>
      </c>
      <c r="D97" s="15">
        <v>486.6</v>
      </c>
      <c r="E97" s="546">
        <v>1534</v>
      </c>
      <c r="F97" s="547">
        <v>1300</v>
      </c>
      <c r="G97" s="662">
        <f>IF(E97&gt;0,0,E96+G96)</f>
        <v>0</v>
      </c>
      <c r="H97" s="663">
        <f>IF(F97&gt;0,0,F96+H96)</f>
        <v>0</v>
      </c>
    </row>
    <row r="98" spans="1:10" ht="12.75">
      <c r="A98" s="674">
        <f>IF(D98&gt;0,C98-245,0)</f>
        <v>37742</v>
      </c>
      <c r="B98" s="17" t="s">
        <v>74</v>
      </c>
      <c r="C98" s="14">
        <v>37987</v>
      </c>
      <c r="D98" s="15">
        <v>486.1</v>
      </c>
      <c r="E98" s="548">
        <f aca="true" t="shared" si="7" ref="E98:E112">ROUND($E$97*(100%+(ROUND((D98-$D$97)/$D$97,4))),0)</f>
        <v>1532</v>
      </c>
      <c r="F98" s="549">
        <f>ROUND($F$97*(100%+(ROUND((D98-$D$97)/$D$97,4))),0)</f>
        <v>1299</v>
      </c>
      <c r="G98" s="659">
        <f>IF(E98&gt;0,0,E97+G97)</f>
        <v>0</v>
      </c>
      <c r="H98" s="664">
        <f aca="true" t="shared" si="8" ref="H98:H108">IF(F98&gt;0,0,F97+H97)</f>
        <v>0</v>
      </c>
      <c r="J98" s="558"/>
    </row>
    <row r="99" spans="1:10" ht="12.75">
      <c r="A99" s="674">
        <f>IF(D99&gt;0,C99-245,0)</f>
        <v>38108</v>
      </c>
      <c r="B99" s="16" t="s">
        <v>75</v>
      </c>
      <c r="C99" s="14">
        <v>38353</v>
      </c>
      <c r="D99" s="15">
        <v>491.9</v>
      </c>
      <c r="E99" s="550">
        <f t="shared" si="7"/>
        <v>1551</v>
      </c>
      <c r="F99" s="549">
        <f>ROUND($F$97*(100%+(ROUND((D99-$D$97)/$D$97,4))),0)</f>
        <v>1314</v>
      </c>
      <c r="G99" s="659">
        <f>IF(E99&gt;0,0,E98+G98)</f>
        <v>0</v>
      </c>
      <c r="H99" s="664">
        <f t="shared" si="8"/>
        <v>0</v>
      </c>
      <c r="J99" s="558"/>
    </row>
    <row r="100" spans="1:10" ht="12.75">
      <c r="A100" s="674">
        <f>IF(D100&gt;0,C100-245,0)</f>
        <v>38473</v>
      </c>
      <c r="B100" s="17" t="s">
        <v>79</v>
      </c>
      <c r="C100" s="14">
        <v>38718</v>
      </c>
      <c r="D100" s="858">
        <f>'Anlg.3 Berechnung'!D132</f>
        <v>495.3</v>
      </c>
      <c r="E100" s="550">
        <f t="shared" si="7"/>
        <v>1561</v>
      </c>
      <c r="F100" s="549">
        <f>ROUND($F$97*(100%+(ROUND((D100-$D$97)/$D$97,4))),0)</f>
        <v>1323</v>
      </c>
      <c r="G100" s="659">
        <f>IF(E100&gt;0,0,E99+G99)</f>
        <v>0</v>
      </c>
      <c r="H100" s="664">
        <f t="shared" si="8"/>
        <v>0</v>
      </c>
      <c r="J100" s="558"/>
    </row>
    <row r="101" spans="1:10" ht="12.75">
      <c r="A101" s="674">
        <f>IF(D101&gt;0,C101-245,0)</f>
        <v>38838</v>
      </c>
      <c r="B101" s="16" t="s">
        <v>77</v>
      </c>
      <c r="C101" s="14">
        <v>39083</v>
      </c>
      <c r="D101" s="862">
        <f>'Anlg.3 Berechnung'!D133</f>
        <v>502.6</v>
      </c>
      <c r="E101" s="550">
        <f t="shared" si="7"/>
        <v>1584</v>
      </c>
      <c r="F101" s="549">
        <f>ROUND($F$97*(100%+(ROUND((D101-$D$97)/$D$97,4))),0)</f>
        <v>1343</v>
      </c>
      <c r="G101" s="659">
        <f aca="true" t="shared" si="9" ref="G101:H112">IF(E101&gt;0,0,E100+G100)</f>
        <v>0</v>
      </c>
      <c r="H101" s="664">
        <f t="shared" si="8"/>
        <v>0</v>
      </c>
      <c r="J101" s="558"/>
    </row>
    <row r="102" spans="1:10" ht="12.75">
      <c r="A102" s="674">
        <f aca="true" t="shared" si="10" ref="A102:A107">IF(D102&gt;0,C102-245,0)</f>
        <v>39203</v>
      </c>
      <c r="B102" s="17" t="s">
        <v>80</v>
      </c>
      <c r="C102" s="14">
        <v>39448</v>
      </c>
      <c r="D102" s="862">
        <f>'Anlg.3 Berechnung'!D134</f>
        <v>540.9</v>
      </c>
      <c r="E102" s="550">
        <f t="shared" si="7"/>
        <v>1705</v>
      </c>
      <c r="F102" s="549">
        <f aca="true" t="shared" si="11" ref="F102:F107">ROUND($F$97*(100%+(ROUND((D102-$D$97)/$D$97,4))),0)</f>
        <v>1445</v>
      </c>
      <c r="G102" s="659">
        <f t="shared" si="9"/>
        <v>0</v>
      </c>
      <c r="H102" s="664">
        <f t="shared" si="8"/>
        <v>0</v>
      </c>
      <c r="J102" s="558"/>
    </row>
    <row r="103" spans="1:10" ht="12.75">
      <c r="A103" s="674">
        <f t="shared" si="10"/>
        <v>39569</v>
      </c>
      <c r="B103" s="16" t="s">
        <v>78</v>
      </c>
      <c r="C103" s="14">
        <v>39814</v>
      </c>
      <c r="D103" s="862">
        <f>'Anlg.3 Berechnung'!D135</f>
        <v>550.3</v>
      </c>
      <c r="E103" s="550">
        <f t="shared" si="7"/>
        <v>1735</v>
      </c>
      <c r="F103" s="549">
        <f t="shared" si="11"/>
        <v>1470</v>
      </c>
      <c r="G103" s="659">
        <f t="shared" si="9"/>
        <v>0</v>
      </c>
      <c r="H103" s="664">
        <f t="shared" si="8"/>
        <v>0</v>
      </c>
      <c r="J103" s="558"/>
    </row>
    <row r="104" spans="1:10" ht="12.75">
      <c r="A104" s="674">
        <f t="shared" si="10"/>
        <v>39934</v>
      </c>
      <c r="B104" s="17" t="s">
        <v>81</v>
      </c>
      <c r="C104" s="14">
        <v>40179</v>
      </c>
      <c r="D104" s="862">
        <f>'Anlg.3 Berechnung'!D136</f>
        <v>552.8</v>
      </c>
      <c r="E104" s="550">
        <f t="shared" si="7"/>
        <v>1743</v>
      </c>
      <c r="F104" s="549">
        <f t="shared" si="11"/>
        <v>1477</v>
      </c>
      <c r="G104" s="659">
        <f t="shared" si="9"/>
        <v>0</v>
      </c>
      <c r="H104" s="664">
        <f t="shared" si="8"/>
        <v>0</v>
      </c>
      <c r="J104" s="558"/>
    </row>
    <row r="105" spans="1:10" ht="12.75">
      <c r="A105" s="674">
        <f t="shared" si="10"/>
        <v>40299</v>
      </c>
      <c r="B105" s="16" t="s">
        <v>264</v>
      </c>
      <c r="C105" s="14">
        <v>40544</v>
      </c>
      <c r="D105" s="862">
        <f>'Anlg.3 Berechnung'!D137</f>
        <v>561.2</v>
      </c>
      <c r="E105" s="550">
        <f t="shared" si="7"/>
        <v>1769</v>
      </c>
      <c r="F105" s="549">
        <f t="shared" si="11"/>
        <v>1499</v>
      </c>
      <c r="G105" s="659">
        <f t="shared" si="9"/>
        <v>0</v>
      </c>
      <c r="H105" s="664">
        <f t="shared" si="8"/>
        <v>0</v>
      </c>
      <c r="J105" s="558"/>
    </row>
    <row r="106" spans="1:10" ht="12.75">
      <c r="A106" s="674">
        <f t="shared" si="10"/>
        <v>40664</v>
      </c>
      <c r="B106" s="17" t="s">
        <v>265</v>
      </c>
      <c r="C106" s="14">
        <v>40909</v>
      </c>
      <c r="D106" s="862">
        <f>'Anlg.3 Berechnung'!D138</f>
        <v>575.1</v>
      </c>
      <c r="E106" s="550">
        <f t="shared" si="7"/>
        <v>1813</v>
      </c>
      <c r="F106" s="549">
        <f t="shared" si="11"/>
        <v>1536</v>
      </c>
      <c r="G106" s="659">
        <f t="shared" si="9"/>
        <v>0</v>
      </c>
      <c r="H106" s="664">
        <f t="shared" si="8"/>
        <v>0</v>
      </c>
      <c r="J106" s="558"/>
    </row>
    <row r="107" spans="1:10" ht="12.75">
      <c r="A107" s="674">
        <f t="shared" si="10"/>
        <v>41030</v>
      </c>
      <c r="B107" s="16" t="s">
        <v>266</v>
      </c>
      <c r="C107" s="14">
        <v>41275</v>
      </c>
      <c r="D107" s="862">
        <f>'Anlg.3 Berechnung'!D139</f>
        <v>589</v>
      </c>
      <c r="E107" s="550">
        <f t="shared" si="7"/>
        <v>1857</v>
      </c>
      <c r="F107" s="549">
        <f t="shared" si="11"/>
        <v>1574</v>
      </c>
      <c r="G107" s="659">
        <f t="shared" si="9"/>
        <v>0</v>
      </c>
      <c r="H107" s="664">
        <f t="shared" si="8"/>
        <v>0</v>
      </c>
      <c r="J107" s="558"/>
    </row>
    <row r="108" spans="1:10" ht="12.75">
      <c r="A108" s="674">
        <f>IF(D108&gt;0,C108-245,0)</f>
        <v>41395</v>
      </c>
      <c r="B108" s="17" t="s">
        <v>267</v>
      </c>
      <c r="C108" s="14">
        <v>41640</v>
      </c>
      <c r="D108" s="862">
        <f>'Anlg.3 Berechnung'!D140</f>
        <v>598.4</v>
      </c>
      <c r="E108" s="550">
        <f t="shared" si="7"/>
        <v>1887</v>
      </c>
      <c r="F108" s="549">
        <f>ROUND($F$97*(100%+(ROUND((D108-$D$97)/$D$97,4))),0)</f>
        <v>1599</v>
      </c>
      <c r="G108" s="659">
        <f t="shared" si="9"/>
        <v>0</v>
      </c>
      <c r="H108" s="664">
        <f t="shared" si="8"/>
        <v>0</v>
      </c>
      <c r="J108" s="558"/>
    </row>
    <row r="109" spans="1:8" ht="12.75">
      <c r="A109" s="674">
        <f>IF(D109&gt;0,C109-245,0)</f>
        <v>0</v>
      </c>
      <c r="B109" s="16" t="s">
        <v>268</v>
      </c>
      <c r="C109" s="14">
        <v>42005</v>
      </c>
      <c r="D109" s="862">
        <f>'Anlg.3 Berechnung'!D141</f>
        <v>0</v>
      </c>
      <c r="E109" s="550">
        <f t="shared" si="7"/>
        <v>0</v>
      </c>
      <c r="F109" s="549">
        <f>ROUND($F$97*(100%+(ROUND((D109-$D$97)/$D$97,4))),0)</f>
        <v>0</v>
      </c>
      <c r="G109" s="659">
        <f t="shared" si="9"/>
        <v>1887</v>
      </c>
      <c r="H109" s="664">
        <f t="shared" si="9"/>
        <v>1599</v>
      </c>
    </row>
    <row r="110" spans="1:8" ht="12.75">
      <c r="A110" s="674">
        <f>IF(D110&gt;0,C110-245,0)</f>
        <v>0</v>
      </c>
      <c r="B110" s="17" t="s">
        <v>405</v>
      </c>
      <c r="C110" s="14">
        <v>42370</v>
      </c>
      <c r="D110" s="862">
        <f>'Anlg.3 Berechnung'!D142</f>
        <v>0</v>
      </c>
      <c r="E110" s="550">
        <f t="shared" si="7"/>
        <v>0</v>
      </c>
      <c r="F110" s="549">
        <f>ROUND($F$97*(100%+(ROUND((D110-$D$97)/$D$97,4))),0)</f>
        <v>0</v>
      </c>
      <c r="G110" s="659">
        <f t="shared" si="9"/>
        <v>1887</v>
      </c>
      <c r="H110" s="664">
        <f t="shared" si="9"/>
        <v>1599</v>
      </c>
    </row>
    <row r="111" spans="1:8" ht="12.75">
      <c r="A111" s="674">
        <f>IF(D111&gt;0,C111-245,0)</f>
        <v>0</v>
      </c>
      <c r="B111" s="16" t="s">
        <v>406</v>
      </c>
      <c r="C111" s="14">
        <v>42736</v>
      </c>
      <c r="D111" s="862">
        <f>'Anlg.3 Berechnung'!D143</f>
        <v>0</v>
      </c>
      <c r="E111" s="550">
        <f t="shared" si="7"/>
        <v>0</v>
      </c>
      <c r="F111" s="549">
        <f>ROUND($F$97*(100%+(ROUND((D111-$D$97)/$D$97,4))),0)</f>
        <v>0</v>
      </c>
      <c r="G111" s="659">
        <f t="shared" si="9"/>
        <v>1887</v>
      </c>
      <c r="H111" s="664">
        <f t="shared" si="9"/>
        <v>1599</v>
      </c>
    </row>
    <row r="112" spans="1:10" ht="13.5" thickBot="1">
      <c r="A112" s="674">
        <f>IF(D112&gt;0,C112-245,0)</f>
        <v>0</v>
      </c>
      <c r="B112" s="17" t="s">
        <v>407</v>
      </c>
      <c r="C112" s="863">
        <v>43101</v>
      </c>
      <c r="D112" s="864">
        <f>'Anlg.3 Berechnung'!D144</f>
        <v>0</v>
      </c>
      <c r="E112" s="865">
        <f t="shared" si="7"/>
        <v>0</v>
      </c>
      <c r="F112" s="866">
        <f>ROUND($F$97*(100%+(ROUND((D112-$D$97)/$D$97,4))),0)</f>
        <v>0</v>
      </c>
      <c r="G112" s="665">
        <f t="shared" si="9"/>
        <v>1887</v>
      </c>
      <c r="H112" s="666">
        <f t="shared" si="9"/>
        <v>1599</v>
      </c>
      <c r="J112" s="558"/>
    </row>
    <row r="117" spans="1:8" ht="13.5" thickBot="1">
      <c r="A117" s="337"/>
      <c r="B117" s="340"/>
      <c r="C117" s="337"/>
      <c r="D117" s="337"/>
      <c r="E117" s="337"/>
      <c r="F117" s="337"/>
      <c r="G117" s="337"/>
      <c r="H117" s="337"/>
    </row>
    <row r="118" spans="1:8" ht="25.5" customHeight="1" thickBot="1">
      <c r="A118" s="600"/>
      <c r="B118" s="553" t="s">
        <v>110</v>
      </c>
      <c r="C118" s="554"/>
      <c r="D118" s="668" t="s">
        <v>289</v>
      </c>
      <c r="E118" s="337"/>
      <c r="F118" s="337"/>
      <c r="G118" s="337"/>
      <c r="H118" s="337"/>
    </row>
    <row r="119" spans="1:8" ht="12.75" customHeight="1">
      <c r="A119" s="454">
        <f>IF(C119&gt;0,B119,0)</f>
        <v>37834</v>
      </c>
      <c r="B119" s="14">
        <v>37834</v>
      </c>
      <c r="C119" s="48">
        <v>0.0701</v>
      </c>
      <c r="D119" s="669">
        <f aca="true" t="shared" si="12" ref="D119:D182">IF(C119&gt;0,0,C118+D118)</f>
        <v>0</v>
      </c>
      <c r="E119" s="337"/>
      <c r="F119" s="337"/>
      <c r="G119" s="555"/>
      <c r="H119" s="337"/>
    </row>
    <row r="120" spans="1:8" ht="12.75" customHeight="1">
      <c r="A120" s="454">
        <f aca="true" t="shared" si="13" ref="A120:A183">IF(C120&gt;0,B120,0)</f>
        <v>37865</v>
      </c>
      <c r="B120" s="14">
        <v>37865</v>
      </c>
      <c r="C120" s="48">
        <v>0.0698</v>
      </c>
      <c r="D120" s="670">
        <f t="shared" si="12"/>
        <v>0</v>
      </c>
      <c r="E120" s="337"/>
      <c r="F120" s="337"/>
      <c r="G120" s="555"/>
      <c r="H120" s="337"/>
    </row>
    <row r="121" spans="1:8" ht="12.75" customHeight="1">
      <c r="A121" s="454">
        <f t="shared" si="13"/>
        <v>37895</v>
      </c>
      <c r="B121" s="14">
        <v>37895</v>
      </c>
      <c r="C121" s="48">
        <v>0.0695</v>
      </c>
      <c r="D121" s="670">
        <f t="shared" si="12"/>
        <v>0</v>
      </c>
      <c r="E121" s="337"/>
      <c r="F121" s="337"/>
      <c r="G121" s="555"/>
      <c r="H121" s="337"/>
    </row>
    <row r="122" spans="1:8" ht="12.75" customHeight="1">
      <c r="A122" s="454">
        <f t="shared" si="13"/>
        <v>37926</v>
      </c>
      <c r="B122" s="14">
        <v>37926</v>
      </c>
      <c r="C122" s="48">
        <v>0.0692</v>
      </c>
      <c r="D122" s="670">
        <f t="shared" si="12"/>
        <v>0</v>
      </c>
      <c r="E122" s="337"/>
      <c r="F122" s="337"/>
      <c r="G122" s="555"/>
      <c r="H122" s="337"/>
    </row>
    <row r="123" spans="1:8" ht="12.75" customHeight="1">
      <c r="A123" s="454">
        <f t="shared" si="13"/>
        <v>37956</v>
      </c>
      <c r="B123" s="14">
        <v>37956</v>
      </c>
      <c r="C123" s="48">
        <v>0.069</v>
      </c>
      <c r="D123" s="670">
        <f t="shared" si="12"/>
        <v>0</v>
      </c>
      <c r="E123" s="337"/>
      <c r="F123" s="337"/>
      <c r="G123" s="555"/>
      <c r="H123" s="337"/>
    </row>
    <row r="124" spans="1:8" ht="12.75" customHeight="1">
      <c r="A124" s="454">
        <f t="shared" si="13"/>
        <v>37987</v>
      </c>
      <c r="B124" s="14">
        <v>37987</v>
      </c>
      <c r="C124" s="48">
        <v>0.0687</v>
      </c>
      <c r="D124" s="670">
        <f t="shared" si="12"/>
        <v>0</v>
      </c>
      <c r="E124" s="337"/>
      <c r="F124" s="337"/>
      <c r="G124" s="555"/>
      <c r="H124" s="337"/>
    </row>
    <row r="125" spans="1:8" ht="12.75" customHeight="1">
      <c r="A125" s="454">
        <f t="shared" si="13"/>
        <v>38018</v>
      </c>
      <c r="B125" s="14">
        <v>38018</v>
      </c>
      <c r="C125" s="48">
        <v>0.0685</v>
      </c>
      <c r="D125" s="670">
        <f t="shared" si="12"/>
        <v>0</v>
      </c>
      <c r="E125" s="337"/>
      <c r="F125" s="556"/>
      <c r="G125" s="555"/>
      <c r="H125" s="337"/>
    </row>
    <row r="126" spans="1:8" ht="12.75" customHeight="1">
      <c r="A126" s="454">
        <f t="shared" si="13"/>
        <v>38047</v>
      </c>
      <c r="B126" s="14">
        <v>38047</v>
      </c>
      <c r="C126" s="48">
        <v>0.0683</v>
      </c>
      <c r="D126" s="670">
        <f t="shared" si="12"/>
        <v>0</v>
      </c>
      <c r="E126" s="337"/>
      <c r="F126" s="556"/>
      <c r="G126" s="555"/>
      <c r="H126" s="337"/>
    </row>
    <row r="127" spans="1:8" ht="12.75" customHeight="1">
      <c r="A127" s="454">
        <f t="shared" si="13"/>
        <v>38078</v>
      </c>
      <c r="B127" s="14">
        <v>38078</v>
      </c>
      <c r="C127" s="48">
        <v>0.068</v>
      </c>
      <c r="D127" s="670">
        <f t="shared" si="12"/>
        <v>0</v>
      </c>
      <c r="E127" s="337"/>
      <c r="F127" s="556"/>
      <c r="G127" s="555"/>
      <c r="H127" s="337"/>
    </row>
    <row r="128" spans="1:8" ht="12.75" customHeight="1">
      <c r="A128" s="454">
        <f t="shared" si="13"/>
        <v>38108</v>
      </c>
      <c r="B128" s="14">
        <v>38108</v>
      </c>
      <c r="C128" s="48">
        <v>0.0678</v>
      </c>
      <c r="D128" s="670">
        <f t="shared" si="12"/>
        <v>0</v>
      </c>
      <c r="E128" s="337"/>
      <c r="F128" s="556"/>
      <c r="G128" s="555"/>
      <c r="H128" s="337"/>
    </row>
    <row r="129" spans="1:8" ht="12.75" customHeight="1">
      <c r="A129" s="454">
        <f t="shared" si="13"/>
        <v>38139</v>
      </c>
      <c r="B129" s="14">
        <v>38139</v>
      </c>
      <c r="C129" s="48">
        <v>0.0676</v>
      </c>
      <c r="D129" s="670">
        <f t="shared" si="12"/>
        <v>0</v>
      </c>
      <c r="E129" s="337"/>
      <c r="F129" s="556"/>
      <c r="G129" s="555"/>
      <c r="H129" s="337"/>
    </row>
    <row r="130" spans="1:8" ht="12.75" customHeight="1">
      <c r="A130" s="454">
        <f t="shared" si="13"/>
        <v>38169</v>
      </c>
      <c r="B130" s="14">
        <v>38169</v>
      </c>
      <c r="C130" s="48">
        <v>0.0673</v>
      </c>
      <c r="D130" s="670">
        <f t="shared" si="12"/>
        <v>0</v>
      </c>
      <c r="E130" s="337"/>
      <c r="F130" s="556"/>
      <c r="G130" s="555"/>
      <c r="H130" s="337"/>
    </row>
    <row r="131" spans="1:8" ht="12.75" customHeight="1">
      <c r="A131" s="454">
        <f t="shared" si="13"/>
        <v>38200</v>
      </c>
      <c r="B131" s="14">
        <v>38200</v>
      </c>
      <c r="C131" s="48">
        <v>0.067</v>
      </c>
      <c r="D131" s="670">
        <f t="shared" si="12"/>
        <v>0</v>
      </c>
      <c r="E131" s="337"/>
      <c r="F131" s="556"/>
      <c r="G131" s="555"/>
      <c r="H131" s="337"/>
    </row>
    <row r="132" spans="1:8" ht="12.75" customHeight="1">
      <c r="A132" s="454">
        <f t="shared" si="13"/>
        <v>38231</v>
      </c>
      <c r="B132" s="14">
        <v>38231</v>
      </c>
      <c r="C132" s="48">
        <v>0.0668</v>
      </c>
      <c r="D132" s="670">
        <f t="shared" si="12"/>
        <v>0</v>
      </c>
      <c r="E132" s="337"/>
      <c r="F132" s="556"/>
      <c r="G132" s="555"/>
      <c r="H132" s="337"/>
    </row>
    <row r="133" spans="1:8" ht="12.75" customHeight="1">
      <c r="A133" s="454">
        <f t="shared" si="13"/>
        <v>38261</v>
      </c>
      <c r="B133" s="14">
        <v>38261</v>
      </c>
      <c r="C133" s="48">
        <v>0.0666</v>
      </c>
      <c r="D133" s="670">
        <f t="shared" si="12"/>
        <v>0</v>
      </c>
      <c r="E133" s="337"/>
      <c r="F133" s="556"/>
      <c r="G133" s="555"/>
      <c r="H133" s="337"/>
    </row>
    <row r="134" spans="1:8" ht="12.75" customHeight="1">
      <c r="A134" s="454">
        <f t="shared" si="13"/>
        <v>38292</v>
      </c>
      <c r="B134" s="14">
        <v>38292</v>
      </c>
      <c r="C134" s="48">
        <v>0.0664</v>
      </c>
      <c r="D134" s="670">
        <f t="shared" si="12"/>
        <v>0</v>
      </c>
      <c r="E134" s="337"/>
      <c r="F134" s="556"/>
      <c r="G134" s="555"/>
      <c r="H134" s="337"/>
    </row>
    <row r="135" spans="1:8" ht="12.75" customHeight="1">
      <c r="A135" s="454">
        <f t="shared" si="13"/>
        <v>38322</v>
      </c>
      <c r="B135" s="14">
        <v>38322</v>
      </c>
      <c r="C135" s="48">
        <v>0.0662</v>
      </c>
      <c r="D135" s="670">
        <f t="shared" si="12"/>
        <v>0</v>
      </c>
      <c r="E135" s="337"/>
      <c r="F135" s="556"/>
      <c r="G135" s="555"/>
      <c r="H135" s="337"/>
    </row>
    <row r="136" spans="1:8" ht="12.75" customHeight="1">
      <c r="A136" s="454">
        <f t="shared" si="13"/>
        <v>38353</v>
      </c>
      <c r="B136" s="14">
        <v>38353</v>
      </c>
      <c r="C136" s="48">
        <v>0.066</v>
      </c>
      <c r="D136" s="670">
        <f t="shared" si="12"/>
        <v>0</v>
      </c>
      <c r="E136" s="337"/>
      <c r="F136" s="556"/>
      <c r="G136" s="555"/>
      <c r="H136" s="337"/>
    </row>
    <row r="137" spans="1:8" ht="12.75" customHeight="1">
      <c r="A137" s="454">
        <f t="shared" si="13"/>
        <v>38384</v>
      </c>
      <c r="B137" s="14">
        <v>38384</v>
      </c>
      <c r="C137" s="48">
        <v>0.0658</v>
      </c>
      <c r="D137" s="670">
        <f t="shared" si="12"/>
        <v>0</v>
      </c>
      <c r="E137" s="337"/>
      <c r="F137" s="556"/>
      <c r="G137" s="555"/>
      <c r="H137" s="337"/>
    </row>
    <row r="138" spans="1:8" ht="12.75" customHeight="1">
      <c r="A138" s="454">
        <f t="shared" si="13"/>
        <v>38412</v>
      </c>
      <c r="B138" s="14">
        <v>38412</v>
      </c>
      <c r="C138" s="48">
        <v>0.0656</v>
      </c>
      <c r="D138" s="670">
        <f t="shared" si="12"/>
        <v>0</v>
      </c>
      <c r="E138" s="337"/>
      <c r="F138" s="556"/>
      <c r="G138" s="555"/>
      <c r="H138" s="337"/>
    </row>
    <row r="139" spans="1:8" ht="12.75" customHeight="1">
      <c r="A139" s="454">
        <f t="shared" si="13"/>
        <v>38443</v>
      </c>
      <c r="B139" s="14">
        <v>38443</v>
      </c>
      <c r="C139" s="48">
        <v>0.0654</v>
      </c>
      <c r="D139" s="670">
        <f t="shared" si="12"/>
        <v>0</v>
      </c>
      <c r="E139" s="337"/>
      <c r="F139" s="556"/>
      <c r="G139" s="555"/>
      <c r="H139" s="337"/>
    </row>
    <row r="140" spans="1:8" ht="12.75" customHeight="1">
      <c r="A140" s="454">
        <f t="shared" si="13"/>
        <v>38473</v>
      </c>
      <c r="B140" s="14">
        <v>38473</v>
      </c>
      <c r="C140" s="48">
        <v>0.0652</v>
      </c>
      <c r="D140" s="670">
        <f t="shared" si="12"/>
        <v>0</v>
      </c>
      <c r="E140" s="337"/>
      <c r="F140" s="556"/>
      <c r="G140" s="555"/>
      <c r="H140" s="337"/>
    </row>
    <row r="141" spans="1:8" ht="12.75" customHeight="1">
      <c r="A141" s="454">
        <f t="shared" si="13"/>
        <v>38504</v>
      </c>
      <c r="B141" s="14">
        <v>38504</v>
      </c>
      <c r="C141" s="48">
        <v>0.0649</v>
      </c>
      <c r="D141" s="670">
        <f t="shared" si="12"/>
        <v>0</v>
      </c>
      <c r="E141" s="337"/>
      <c r="F141" s="556"/>
      <c r="G141" s="555"/>
      <c r="H141" s="337"/>
    </row>
    <row r="142" spans="1:8" ht="12.75" customHeight="1">
      <c r="A142" s="454">
        <f t="shared" si="13"/>
        <v>38534</v>
      </c>
      <c r="B142" s="14">
        <v>38534</v>
      </c>
      <c r="C142" s="48">
        <v>0.0646</v>
      </c>
      <c r="D142" s="670">
        <f t="shared" si="12"/>
        <v>0</v>
      </c>
      <c r="E142" s="337"/>
      <c r="F142" s="556"/>
      <c r="G142" s="555"/>
      <c r="H142" s="337"/>
    </row>
    <row r="143" spans="1:8" ht="12.75" customHeight="1">
      <c r="A143" s="454">
        <f t="shared" si="13"/>
        <v>38565</v>
      </c>
      <c r="B143" s="14">
        <v>38565</v>
      </c>
      <c r="C143" s="48">
        <v>0.0643</v>
      </c>
      <c r="D143" s="670">
        <f t="shared" si="12"/>
        <v>0</v>
      </c>
      <c r="E143" s="337"/>
      <c r="F143" s="556"/>
      <c r="G143" s="555"/>
      <c r="H143" s="337"/>
    </row>
    <row r="144" spans="1:8" ht="12.75" customHeight="1">
      <c r="A144" s="454">
        <f t="shared" si="13"/>
        <v>38596</v>
      </c>
      <c r="B144" s="14">
        <v>38596</v>
      </c>
      <c r="C144" s="48">
        <v>0.064</v>
      </c>
      <c r="D144" s="670">
        <f t="shared" si="12"/>
        <v>0</v>
      </c>
      <c r="E144" s="337"/>
      <c r="F144" s="557"/>
      <c r="G144" s="337"/>
      <c r="H144" s="337"/>
    </row>
    <row r="145" spans="1:8" ht="12.75" customHeight="1">
      <c r="A145" s="454">
        <f t="shared" si="13"/>
        <v>38626</v>
      </c>
      <c r="B145" s="14">
        <v>38626</v>
      </c>
      <c r="C145" s="48">
        <v>0.0637</v>
      </c>
      <c r="D145" s="670">
        <f t="shared" si="12"/>
        <v>0</v>
      </c>
      <c r="E145" s="337"/>
      <c r="F145" s="337"/>
      <c r="G145" s="337"/>
      <c r="H145" s="337"/>
    </row>
    <row r="146" spans="1:6" ht="12.75" customHeight="1">
      <c r="A146" s="454">
        <f t="shared" si="13"/>
        <v>38657</v>
      </c>
      <c r="B146" s="14">
        <v>38657</v>
      </c>
      <c r="C146" s="48">
        <f>'Anlg.5  Gebäude +Inventarmiete '!C146</f>
        <v>0.0634</v>
      </c>
      <c r="D146" s="670">
        <f t="shared" si="12"/>
        <v>0</v>
      </c>
      <c r="F146" s="452"/>
    </row>
    <row r="147" spans="1:4" ht="12.75" customHeight="1">
      <c r="A147" s="454">
        <f t="shared" si="13"/>
        <v>38687</v>
      </c>
      <c r="B147" s="14">
        <v>38687</v>
      </c>
      <c r="C147" s="48">
        <f>'Anlg.5  Gebäude +Inventarmiete '!C147</f>
        <v>0.0631</v>
      </c>
      <c r="D147" s="670">
        <f t="shared" si="12"/>
        <v>0</v>
      </c>
    </row>
    <row r="148" spans="1:4" ht="12.75" customHeight="1">
      <c r="A148" s="454">
        <f t="shared" si="13"/>
        <v>38718</v>
      </c>
      <c r="B148" s="14">
        <v>38718</v>
      </c>
      <c r="C148" s="48">
        <f>'Anlg.5  Gebäude +Inventarmiete '!C148</f>
        <v>0.0627</v>
      </c>
      <c r="D148" s="670">
        <f t="shared" si="12"/>
        <v>0</v>
      </c>
    </row>
    <row r="149" spans="1:4" ht="12.75" customHeight="1">
      <c r="A149" s="454">
        <f t="shared" si="13"/>
        <v>38749</v>
      </c>
      <c r="B149" s="14">
        <v>38749</v>
      </c>
      <c r="C149" s="48">
        <f>'Anlg.5  Gebäude +Inventarmiete '!C149</f>
        <v>0.0624</v>
      </c>
      <c r="D149" s="670">
        <f t="shared" si="12"/>
        <v>0</v>
      </c>
    </row>
    <row r="150" spans="1:4" ht="12.75" customHeight="1">
      <c r="A150" s="454">
        <f t="shared" si="13"/>
        <v>38777</v>
      </c>
      <c r="B150" s="14">
        <v>38777</v>
      </c>
      <c r="C150" s="48">
        <f>'Anlg.5  Gebäude +Inventarmiete '!C150</f>
        <v>0.062</v>
      </c>
      <c r="D150" s="670">
        <f t="shared" si="12"/>
        <v>0</v>
      </c>
    </row>
    <row r="151" spans="1:4" ht="12.75" customHeight="1">
      <c r="A151" s="454">
        <f t="shared" si="13"/>
        <v>38808</v>
      </c>
      <c r="B151" s="14">
        <v>38808</v>
      </c>
      <c r="C151" s="48">
        <f>'Anlg.5  Gebäude +Inventarmiete '!C151</f>
        <v>0.0617</v>
      </c>
      <c r="D151" s="670">
        <f t="shared" si="12"/>
        <v>0</v>
      </c>
    </row>
    <row r="152" spans="1:4" ht="12.75" customHeight="1">
      <c r="A152" s="454">
        <f t="shared" si="13"/>
        <v>38838</v>
      </c>
      <c r="B152" s="14">
        <v>38838</v>
      </c>
      <c r="C152" s="614">
        <f>'Anlg.5  Gebäude +Inventarmiete '!C152</f>
        <v>0.0613</v>
      </c>
      <c r="D152" s="670">
        <f t="shared" si="12"/>
        <v>0</v>
      </c>
    </row>
    <row r="153" spans="1:4" ht="12.75" customHeight="1">
      <c r="A153" s="454">
        <f t="shared" si="13"/>
        <v>38869</v>
      </c>
      <c r="B153" s="14">
        <v>38869</v>
      </c>
      <c r="C153" s="614">
        <f>'Anlg.5  Gebäude +Inventarmiete '!C153</f>
        <v>0.061</v>
      </c>
      <c r="D153" s="670">
        <f t="shared" si="12"/>
        <v>0</v>
      </c>
    </row>
    <row r="154" spans="1:4" ht="12.75" customHeight="1">
      <c r="A154" s="454">
        <f t="shared" si="13"/>
        <v>38899</v>
      </c>
      <c r="B154" s="14">
        <v>38899</v>
      </c>
      <c r="C154" s="614">
        <f>'Anlg.5  Gebäude +Inventarmiete '!C154</f>
        <v>0.0607</v>
      </c>
      <c r="D154" s="670">
        <f t="shared" si="12"/>
        <v>0</v>
      </c>
    </row>
    <row r="155" spans="1:4" ht="12.75" customHeight="1">
      <c r="A155" s="454">
        <f t="shared" si="13"/>
        <v>38930</v>
      </c>
      <c r="B155" s="14">
        <v>38930</v>
      </c>
      <c r="C155" s="614">
        <f>'Anlg.5  Gebäude +Inventarmiete '!C155</f>
        <v>0.0604</v>
      </c>
      <c r="D155" s="670">
        <f t="shared" si="12"/>
        <v>0</v>
      </c>
    </row>
    <row r="156" spans="1:4" ht="12.75" customHeight="1">
      <c r="A156" s="454">
        <f t="shared" si="13"/>
        <v>38961</v>
      </c>
      <c r="B156" s="14">
        <v>38961</v>
      </c>
      <c r="C156" s="614">
        <f>'Anlg.5  Gebäude +Inventarmiete '!C156</f>
        <v>0.06</v>
      </c>
      <c r="D156" s="670">
        <f t="shared" si="12"/>
        <v>0</v>
      </c>
    </row>
    <row r="157" spans="1:4" ht="12.75" customHeight="1">
      <c r="A157" s="454">
        <f t="shared" si="13"/>
        <v>38991</v>
      </c>
      <c r="B157" s="14">
        <v>38991</v>
      </c>
      <c r="C157" s="614">
        <f>'Anlg.5  Gebäude +Inventarmiete '!C157</f>
        <v>0.0597</v>
      </c>
      <c r="D157" s="670">
        <f t="shared" si="12"/>
        <v>0</v>
      </c>
    </row>
    <row r="158" spans="1:4" ht="12.75" customHeight="1">
      <c r="A158" s="454">
        <f t="shared" si="13"/>
        <v>39022</v>
      </c>
      <c r="B158" s="14">
        <v>39022</v>
      </c>
      <c r="C158" s="614">
        <f>'Anlg.5  Gebäude +Inventarmiete '!C158</f>
        <v>0.0594</v>
      </c>
      <c r="D158" s="670">
        <f t="shared" si="12"/>
        <v>0</v>
      </c>
    </row>
    <row r="159" spans="1:4" ht="12.75" customHeight="1">
      <c r="A159" s="454">
        <f t="shared" si="13"/>
        <v>39052</v>
      </c>
      <c r="B159" s="14">
        <v>39052</v>
      </c>
      <c r="C159" s="614">
        <f>'Anlg.5  Gebäude +Inventarmiete '!C159</f>
        <v>0.0591</v>
      </c>
      <c r="D159" s="670">
        <f t="shared" si="12"/>
        <v>0</v>
      </c>
    </row>
    <row r="160" spans="1:4" ht="12.75" customHeight="1">
      <c r="A160" s="454">
        <f t="shared" si="13"/>
        <v>39083</v>
      </c>
      <c r="B160" s="14">
        <v>39083</v>
      </c>
      <c r="C160" s="614">
        <f>'Anlg.5  Gebäude +Inventarmiete '!C160</f>
        <v>0.0588</v>
      </c>
      <c r="D160" s="670">
        <f t="shared" si="12"/>
        <v>0</v>
      </c>
    </row>
    <row r="161" spans="1:4" ht="12.75" customHeight="1">
      <c r="A161" s="454">
        <f t="shared" si="13"/>
        <v>39114</v>
      </c>
      <c r="B161" s="14">
        <v>39114</v>
      </c>
      <c r="C161" s="614">
        <f>'Anlg.5  Gebäude +Inventarmiete '!C161</f>
        <v>0.0586</v>
      </c>
      <c r="D161" s="670">
        <f t="shared" si="12"/>
        <v>0</v>
      </c>
    </row>
    <row r="162" spans="1:4" ht="12.75" customHeight="1">
      <c r="A162" s="454">
        <f t="shared" si="13"/>
        <v>39142</v>
      </c>
      <c r="B162" s="14">
        <v>39142</v>
      </c>
      <c r="C162" s="614">
        <f>'Anlg.5  Gebäude +Inventarmiete '!C162</f>
        <v>0.0583</v>
      </c>
      <c r="D162" s="670">
        <f t="shared" si="12"/>
        <v>0</v>
      </c>
    </row>
    <row r="163" spans="1:4" ht="12.75" customHeight="1">
      <c r="A163" s="454">
        <f t="shared" si="13"/>
        <v>39173</v>
      </c>
      <c r="B163" s="14">
        <v>39173</v>
      </c>
      <c r="C163" s="614">
        <f>'Anlg.5  Gebäude +Inventarmiete '!C163</f>
        <v>0.0581</v>
      </c>
      <c r="D163" s="670">
        <f t="shared" si="12"/>
        <v>0</v>
      </c>
    </row>
    <row r="164" spans="1:4" ht="12.75" customHeight="1">
      <c r="A164" s="454">
        <f t="shared" si="13"/>
        <v>39203</v>
      </c>
      <c r="B164" s="14">
        <v>39203</v>
      </c>
      <c r="C164" s="614">
        <f>'Anlg.5  Gebäude +Inventarmiete '!C164</f>
        <v>0.0578</v>
      </c>
      <c r="D164" s="670">
        <f t="shared" si="12"/>
        <v>0</v>
      </c>
    </row>
    <row r="165" spans="1:4" ht="12.75" customHeight="1">
      <c r="A165" s="454">
        <f t="shared" si="13"/>
        <v>39234</v>
      </c>
      <c r="B165" s="14">
        <v>39234</v>
      </c>
      <c r="C165" s="614">
        <f>'Anlg.5  Gebäude +Inventarmiete '!C165</f>
        <v>0.0575</v>
      </c>
      <c r="D165" s="670">
        <f t="shared" si="12"/>
        <v>0</v>
      </c>
    </row>
    <row r="166" spans="1:4" ht="12.75" customHeight="1">
      <c r="A166" s="454">
        <f t="shared" si="13"/>
        <v>39264</v>
      </c>
      <c r="B166" s="14">
        <v>39264</v>
      </c>
      <c r="C166" s="614">
        <f>'Anlg.5  Gebäude +Inventarmiete '!C166</f>
        <v>0.0573</v>
      </c>
      <c r="D166" s="670">
        <f t="shared" si="12"/>
        <v>0</v>
      </c>
    </row>
    <row r="167" spans="1:4" ht="12.75" customHeight="1">
      <c r="A167" s="454">
        <f t="shared" si="13"/>
        <v>39295</v>
      </c>
      <c r="B167" s="14">
        <v>39295</v>
      </c>
      <c r="C167" s="614">
        <f>'Anlg.5  Gebäude +Inventarmiete '!C167</f>
        <v>0.057</v>
      </c>
      <c r="D167" s="670">
        <f t="shared" si="12"/>
        <v>0</v>
      </c>
    </row>
    <row r="168" spans="1:4" ht="12.75" customHeight="1">
      <c r="A168" s="454">
        <f t="shared" si="13"/>
        <v>39326</v>
      </c>
      <c r="B168" s="14">
        <v>39326</v>
      </c>
      <c r="C168" s="614">
        <f>'Anlg.5  Gebäude +Inventarmiete '!C168</f>
        <v>0.0568</v>
      </c>
      <c r="D168" s="670">
        <f t="shared" si="12"/>
        <v>0</v>
      </c>
    </row>
    <row r="169" spans="1:4" ht="12.75" customHeight="1">
      <c r="A169" s="454">
        <f t="shared" si="13"/>
        <v>39356</v>
      </c>
      <c r="B169" s="14">
        <v>39356</v>
      </c>
      <c r="C169" s="614">
        <f>'Anlg.5  Gebäude +Inventarmiete '!C169</f>
        <v>0.0566</v>
      </c>
      <c r="D169" s="670">
        <f t="shared" si="12"/>
        <v>0</v>
      </c>
    </row>
    <row r="170" spans="1:4" ht="12.75" customHeight="1">
      <c r="A170" s="454">
        <f t="shared" si="13"/>
        <v>39387</v>
      </c>
      <c r="B170" s="14">
        <v>39387</v>
      </c>
      <c r="C170" s="614">
        <f>'Anlg.5  Gebäude +Inventarmiete '!C170</f>
        <v>0.0564</v>
      </c>
      <c r="D170" s="670">
        <f t="shared" si="12"/>
        <v>0</v>
      </c>
    </row>
    <row r="171" spans="1:4" ht="12.75" customHeight="1">
      <c r="A171" s="454">
        <f t="shared" si="13"/>
        <v>39417</v>
      </c>
      <c r="B171" s="14">
        <v>39417</v>
      </c>
      <c r="C171" s="614">
        <f>'Anlg.5  Gebäude +Inventarmiete '!C171</f>
        <v>0.0561</v>
      </c>
      <c r="D171" s="670">
        <f t="shared" si="12"/>
        <v>0</v>
      </c>
    </row>
    <row r="172" spans="1:4" ht="12.75" customHeight="1">
      <c r="A172" s="454">
        <f t="shared" si="13"/>
        <v>39448</v>
      </c>
      <c r="B172" s="14">
        <v>39448</v>
      </c>
      <c r="C172" s="614">
        <f>'Anlg.5  Gebäude +Inventarmiete '!C172</f>
        <v>0.0559</v>
      </c>
      <c r="D172" s="670">
        <f t="shared" si="12"/>
        <v>0</v>
      </c>
    </row>
    <row r="173" spans="1:4" ht="12.75" customHeight="1">
      <c r="A173" s="454">
        <f t="shared" si="13"/>
        <v>39479</v>
      </c>
      <c r="B173" s="14">
        <v>39479</v>
      </c>
      <c r="C173" s="614">
        <f>'Anlg.5  Gebäude +Inventarmiete '!C173</f>
        <v>0.0557</v>
      </c>
      <c r="D173" s="670">
        <f t="shared" si="12"/>
        <v>0</v>
      </c>
    </row>
    <row r="174" spans="1:4" ht="12.75" customHeight="1">
      <c r="A174" s="454">
        <f t="shared" si="13"/>
        <v>39508</v>
      </c>
      <c r="B174" s="14">
        <v>39508</v>
      </c>
      <c r="C174" s="614">
        <f>'Anlg.5  Gebäude +Inventarmiete '!C174</f>
        <v>0.0556</v>
      </c>
      <c r="D174" s="670">
        <f t="shared" si="12"/>
        <v>0</v>
      </c>
    </row>
    <row r="175" spans="1:4" ht="12.75" customHeight="1">
      <c r="A175" s="454">
        <f t="shared" si="13"/>
        <v>39539</v>
      </c>
      <c r="B175" s="14">
        <v>39539</v>
      </c>
      <c r="C175" s="614">
        <f>'Anlg.5  Gebäude +Inventarmiete '!C175</f>
        <v>0.0554</v>
      </c>
      <c r="D175" s="670">
        <f t="shared" si="12"/>
        <v>0</v>
      </c>
    </row>
    <row r="176" spans="1:4" ht="12.75" customHeight="1">
      <c r="A176" s="454">
        <f t="shared" si="13"/>
        <v>39569</v>
      </c>
      <c r="B176" s="14">
        <v>39569</v>
      </c>
      <c r="C176" s="614">
        <f>'Anlg.5  Gebäude +Inventarmiete '!C176</f>
        <v>0.0552</v>
      </c>
      <c r="D176" s="670">
        <f t="shared" si="12"/>
        <v>0</v>
      </c>
    </row>
    <row r="177" spans="1:4" ht="12.75" customHeight="1">
      <c r="A177" s="454">
        <f t="shared" si="13"/>
        <v>39600</v>
      </c>
      <c r="B177" s="14">
        <v>39600</v>
      </c>
      <c r="C177" s="614">
        <f>'Anlg.5  Gebäude +Inventarmiete '!C177</f>
        <v>0.055</v>
      </c>
      <c r="D177" s="670">
        <f t="shared" si="12"/>
        <v>0</v>
      </c>
    </row>
    <row r="178" spans="1:4" ht="12.75" customHeight="1">
      <c r="A178" s="454">
        <f t="shared" si="13"/>
        <v>39630</v>
      </c>
      <c r="B178" s="14">
        <v>39630</v>
      </c>
      <c r="C178" s="614">
        <f>'Anlg.5  Gebäude +Inventarmiete '!C178</f>
        <v>0.0549</v>
      </c>
      <c r="D178" s="670">
        <f t="shared" si="12"/>
        <v>0</v>
      </c>
    </row>
    <row r="179" spans="1:4" ht="12.75" customHeight="1">
      <c r="A179" s="454">
        <f t="shared" si="13"/>
        <v>39661</v>
      </c>
      <c r="B179" s="14">
        <v>39661</v>
      </c>
      <c r="C179" s="614">
        <f>'Anlg.5  Gebäude +Inventarmiete '!C179</f>
        <v>0.0548</v>
      </c>
      <c r="D179" s="670">
        <f t="shared" si="12"/>
        <v>0</v>
      </c>
    </row>
    <row r="180" spans="1:4" ht="12.75" customHeight="1">
      <c r="A180" s="454">
        <f t="shared" si="13"/>
        <v>39692</v>
      </c>
      <c r="B180" s="14">
        <v>39692</v>
      </c>
      <c r="C180" s="614">
        <f>'Anlg.5  Gebäude +Inventarmiete '!C180</f>
        <v>0.0546</v>
      </c>
      <c r="D180" s="670">
        <f t="shared" si="12"/>
        <v>0</v>
      </c>
    </row>
    <row r="181" spans="1:4" ht="12.75" customHeight="1">
      <c r="A181" s="454">
        <f t="shared" si="13"/>
        <v>39722</v>
      </c>
      <c r="B181" s="14">
        <v>39722</v>
      </c>
      <c r="C181" s="614">
        <f>'Anlg.5  Gebäude +Inventarmiete '!C181</f>
        <v>0.0545</v>
      </c>
      <c r="D181" s="670">
        <f t="shared" si="12"/>
        <v>0</v>
      </c>
    </row>
    <row r="182" spans="1:4" ht="12.75" customHeight="1">
      <c r="A182" s="454">
        <f t="shared" si="13"/>
        <v>39753</v>
      </c>
      <c r="B182" s="14">
        <v>39753</v>
      </c>
      <c r="C182" s="614">
        <f>'Anlg.5  Gebäude +Inventarmiete '!C182</f>
        <v>0.0544</v>
      </c>
      <c r="D182" s="670">
        <f t="shared" si="12"/>
        <v>0</v>
      </c>
    </row>
    <row r="183" spans="1:4" ht="12.75" customHeight="1">
      <c r="A183" s="454">
        <f t="shared" si="13"/>
        <v>39783</v>
      </c>
      <c r="B183" s="14">
        <v>39783</v>
      </c>
      <c r="C183" s="614">
        <f>'Anlg.5  Gebäude +Inventarmiete '!C183</f>
        <v>0.0542</v>
      </c>
      <c r="D183" s="670">
        <f aca="true" t="shared" si="14" ref="D183:D246">IF(C183&gt;0,0,C182+D182)</f>
        <v>0</v>
      </c>
    </row>
    <row r="184" spans="1:4" ht="12.75" customHeight="1">
      <c r="A184" s="454">
        <f aca="true" t="shared" si="15" ref="A184:A195">IF(C184&gt;0,B184,0)</f>
        <v>39814</v>
      </c>
      <c r="B184" s="14">
        <v>39814</v>
      </c>
      <c r="C184" s="614">
        <f>'Anlg.5  Gebäude +Inventarmiete '!C184</f>
        <v>0.0541</v>
      </c>
      <c r="D184" s="670">
        <f t="shared" si="14"/>
        <v>0</v>
      </c>
    </row>
    <row r="185" spans="1:4" ht="12.75" customHeight="1">
      <c r="A185" s="454">
        <f t="shared" si="15"/>
        <v>39845</v>
      </c>
      <c r="B185" s="14">
        <v>39845</v>
      </c>
      <c r="C185" s="614">
        <f>'Anlg.5  Gebäude +Inventarmiete '!C185</f>
        <v>0.054</v>
      </c>
      <c r="D185" s="670">
        <f t="shared" si="14"/>
        <v>0</v>
      </c>
    </row>
    <row r="186" spans="1:4" ht="12.75" customHeight="1">
      <c r="A186" s="454">
        <f t="shared" si="15"/>
        <v>39873</v>
      </c>
      <c r="B186" s="14">
        <v>39873</v>
      </c>
      <c r="C186" s="614">
        <f>'Anlg.5  Gebäude +Inventarmiete '!C186</f>
        <v>0.0539</v>
      </c>
      <c r="D186" s="670">
        <f t="shared" si="14"/>
        <v>0</v>
      </c>
    </row>
    <row r="187" spans="1:4" ht="12.75" customHeight="1">
      <c r="A187" s="454">
        <f t="shared" si="15"/>
        <v>39904</v>
      </c>
      <c r="B187" s="14">
        <v>39904</v>
      </c>
      <c r="C187" s="614">
        <f>'Anlg.5  Gebäude +Inventarmiete '!C187</f>
        <v>0.0538</v>
      </c>
      <c r="D187" s="670">
        <f t="shared" si="14"/>
        <v>0</v>
      </c>
    </row>
    <row r="188" spans="1:4" ht="12.75" customHeight="1">
      <c r="A188" s="454">
        <f t="shared" si="15"/>
        <v>39934</v>
      </c>
      <c r="B188" s="14">
        <v>39934</v>
      </c>
      <c r="C188" s="614">
        <f>'Anlg.5  Gebäude +Inventarmiete '!C188</f>
        <v>0.0537</v>
      </c>
      <c r="D188" s="670">
        <f t="shared" si="14"/>
        <v>0</v>
      </c>
    </row>
    <row r="189" spans="1:4" ht="12.75" customHeight="1">
      <c r="A189" s="454">
        <f t="shared" si="15"/>
        <v>39965</v>
      </c>
      <c r="B189" s="14">
        <v>39965</v>
      </c>
      <c r="C189" s="614">
        <f>'Anlg.5  Gebäude +Inventarmiete '!C189</f>
        <v>0.0536</v>
      </c>
      <c r="D189" s="670">
        <f t="shared" si="14"/>
        <v>0</v>
      </c>
    </row>
    <row r="190" spans="1:4" ht="12.75" customHeight="1">
      <c r="A190" s="454">
        <f t="shared" si="15"/>
        <v>39995</v>
      </c>
      <c r="B190" s="14">
        <v>39995</v>
      </c>
      <c r="C190" s="614">
        <f>'Anlg.5  Gebäude +Inventarmiete '!C190</f>
        <v>0.0535</v>
      </c>
      <c r="D190" s="670">
        <f t="shared" si="14"/>
        <v>0</v>
      </c>
    </row>
    <row r="191" spans="1:4" ht="12.75" customHeight="1">
      <c r="A191" s="454">
        <f t="shared" si="15"/>
        <v>40026</v>
      </c>
      <c r="B191" s="14">
        <v>40026</v>
      </c>
      <c r="C191" s="614">
        <f>'Anlg.5  Gebäude +Inventarmiete '!C191</f>
        <v>0.0534</v>
      </c>
      <c r="D191" s="670">
        <f t="shared" si="14"/>
        <v>0</v>
      </c>
    </row>
    <row r="192" spans="1:4" ht="12.75" customHeight="1">
      <c r="A192" s="454">
        <f t="shared" si="15"/>
        <v>40057</v>
      </c>
      <c r="B192" s="14">
        <v>40057</v>
      </c>
      <c r="C192" s="614">
        <f>'Anlg.5  Gebäude +Inventarmiete '!C192</f>
        <v>0.0534</v>
      </c>
      <c r="D192" s="670">
        <f t="shared" si="14"/>
        <v>0</v>
      </c>
    </row>
    <row r="193" spans="1:4" ht="12.75" customHeight="1">
      <c r="A193" s="454">
        <f t="shared" si="15"/>
        <v>40087</v>
      </c>
      <c r="B193" s="14">
        <v>40087</v>
      </c>
      <c r="C193" s="614">
        <f>'Anlg.5  Gebäude +Inventarmiete '!C193</f>
        <v>0.0533</v>
      </c>
      <c r="D193" s="670">
        <f t="shared" si="14"/>
        <v>0</v>
      </c>
    </row>
    <row r="194" spans="1:4" ht="12.75" customHeight="1">
      <c r="A194" s="454">
        <f t="shared" si="15"/>
        <v>40118</v>
      </c>
      <c r="B194" s="14">
        <v>40118</v>
      </c>
      <c r="C194" s="614">
        <f>'Anlg.5  Gebäude +Inventarmiete '!C194</f>
        <v>0.0533</v>
      </c>
      <c r="D194" s="670">
        <f t="shared" si="14"/>
        <v>0</v>
      </c>
    </row>
    <row r="195" spans="1:4" ht="12.75" customHeight="1">
      <c r="A195" s="454">
        <f t="shared" si="15"/>
        <v>40148</v>
      </c>
      <c r="B195" s="14">
        <v>40148</v>
      </c>
      <c r="C195" s="614">
        <f>'Anlg.5  Gebäude +Inventarmiete '!C195</f>
        <v>0.0533</v>
      </c>
      <c r="D195" s="670">
        <f t="shared" si="14"/>
        <v>0</v>
      </c>
    </row>
    <row r="196" spans="1:4" ht="12.75" customHeight="1">
      <c r="A196" s="454">
        <f aca="true" t="shared" si="16" ref="A196:A259">IF(C196&gt;0,B196,0)</f>
        <v>40179</v>
      </c>
      <c r="B196" s="14">
        <v>40179</v>
      </c>
      <c r="C196" s="614">
        <f>'Anlg.5  Gebäude +Inventarmiete '!C196</f>
        <v>0.0532</v>
      </c>
      <c r="D196" s="670">
        <f t="shared" si="14"/>
        <v>0</v>
      </c>
    </row>
    <row r="197" spans="1:4" ht="12.75" customHeight="1">
      <c r="A197" s="454">
        <f t="shared" si="16"/>
        <v>40210</v>
      </c>
      <c r="B197" s="14">
        <v>40210</v>
      </c>
      <c r="C197" s="614">
        <f>'Anlg.5  Gebäude +Inventarmiete '!C197</f>
        <v>0.0532</v>
      </c>
      <c r="D197" s="670">
        <f t="shared" si="14"/>
        <v>0</v>
      </c>
    </row>
    <row r="198" spans="1:4" ht="12.75" customHeight="1">
      <c r="A198" s="454">
        <f t="shared" si="16"/>
        <v>40238</v>
      </c>
      <c r="B198" s="14">
        <v>40238</v>
      </c>
      <c r="C198" s="614">
        <f>'Anlg.5  Gebäude +Inventarmiete '!C198</f>
        <v>0.0532</v>
      </c>
      <c r="D198" s="670">
        <f t="shared" si="14"/>
        <v>0</v>
      </c>
    </row>
    <row r="199" spans="1:4" ht="12.75" customHeight="1">
      <c r="A199" s="454">
        <f t="shared" si="16"/>
        <v>40269</v>
      </c>
      <c r="B199" s="14">
        <v>40269</v>
      </c>
      <c r="C199" s="614">
        <f>'Anlg.5  Gebäude +Inventarmiete '!C199</f>
        <v>0.0531</v>
      </c>
      <c r="D199" s="670">
        <f t="shared" si="14"/>
        <v>0</v>
      </c>
    </row>
    <row r="200" spans="1:4" ht="12.75" customHeight="1">
      <c r="A200" s="454">
        <f t="shared" si="16"/>
        <v>40299</v>
      </c>
      <c r="B200" s="14">
        <v>40299</v>
      </c>
      <c r="C200" s="614">
        <f>'Anlg.5  Gebäude +Inventarmiete '!C200</f>
        <v>0.053</v>
      </c>
      <c r="D200" s="670">
        <f t="shared" si="14"/>
        <v>0</v>
      </c>
    </row>
    <row r="201" spans="1:4" ht="12.75" customHeight="1">
      <c r="A201" s="454">
        <f t="shared" si="16"/>
        <v>40330</v>
      </c>
      <c r="B201" s="14">
        <v>40330</v>
      </c>
      <c r="C201" s="614">
        <f>'Anlg.5  Gebäude +Inventarmiete '!C201</f>
        <v>0.053</v>
      </c>
      <c r="D201" s="670">
        <f t="shared" si="14"/>
        <v>0</v>
      </c>
    </row>
    <row r="202" spans="1:4" ht="12.75" customHeight="1">
      <c r="A202" s="454">
        <f t="shared" si="16"/>
        <v>40360</v>
      </c>
      <c r="B202" s="14">
        <v>40360</v>
      </c>
      <c r="C202" s="614">
        <f>'Anlg.5  Gebäude +Inventarmiete '!C202</f>
        <v>0.0529</v>
      </c>
      <c r="D202" s="670">
        <f t="shared" si="14"/>
        <v>0</v>
      </c>
    </row>
    <row r="203" spans="1:4" ht="12.75" customHeight="1">
      <c r="A203" s="454">
        <f t="shared" si="16"/>
        <v>40391</v>
      </c>
      <c r="B203" s="14">
        <v>40391</v>
      </c>
      <c r="C203" s="614">
        <f>'Anlg.5  Gebäude +Inventarmiete '!C203</f>
        <v>0.0528</v>
      </c>
      <c r="D203" s="670">
        <f t="shared" si="14"/>
        <v>0</v>
      </c>
    </row>
    <row r="204" spans="1:4" ht="12.75" customHeight="1">
      <c r="A204" s="454">
        <f t="shared" si="16"/>
        <v>40422</v>
      </c>
      <c r="B204" s="14">
        <v>40422</v>
      </c>
      <c r="C204" s="614">
        <f>'Anlg.5  Gebäude +Inventarmiete '!C204</f>
        <v>0.0526</v>
      </c>
      <c r="D204" s="670">
        <f t="shared" si="14"/>
        <v>0</v>
      </c>
    </row>
    <row r="205" spans="1:4" ht="12.75" customHeight="1">
      <c r="A205" s="454">
        <f t="shared" si="16"/>
        <v>40452</v>
      </c>
      <c r="B205" s="14">
        <v>40452</v>
      </c>
      <c r="C205" s="614">
        <f>'Anlg.5  Gebäude +Inventarmiete '!C205</f>
        <v>0.0525</v>
      </c>
      <c r="D205" s="670">
        <f t="shared" si="14"/>
        <v>0</v>
      </c>
    </row>
    <row r="206" spans="1:4" ht="12.75" customHeight="1">
      <c r="A206" s="454">
        <f t="shared" si="16"/>
        <v>40483</v>
      </c>
      <c r="B206" s="14">
        <v>40483</v>
      </c>
      <c r="C206" s="614">
        <f>'Anlg.5  Gebäude +Inventarmiete '!C206</f>
        <v>0.0523</v>
      </c>
      <c r="D206" s="670">
        <f t="shared" si="14"/>
        <v>0</v>
      </c>
    </row>
    <row r="207" spans="1:4" ht="12.75" customHeight="1">
      <c r="A207" s="454">
        <f t="shared" si="16"/>
        <v>40513</v>
      </c>
      <c r="B207" s="14">
        <v>40513</v>
      </c>
      <c r="C207" s="614">
        <f>'Anlg.5  Gebäude +Inventarmiete '!C207</f>
        <v>0.0521</v>
      </c>
      <c r="D207" s="670">
        <f t="shared" si="14"/>
        <v>0</v>
      </c>
    </row>
    <row r="208" spans="1:4" ht="12.75" customHeight="1">
      <c r="A208" s="454">
        <f t="shared" si="16"/>
        <v>40544</v>
      </c>
      <c r="B208" s="14">
        <v>40544</v>
      </c>
      <c r="C208" s="614">
        <f>'Anlg.5  Gebäude +Inventarmiete '!C208</f>
        <v>0.0519</v>
      </c>
      <c r="D208" s="670">
        <f t="shared" si="14"/>
        <v>0</v>
      </c>
    </row>
    <row r="209" spans="1:4" ht="12.75" customHeight="1">
      <c r="A209" s="454">
        <f t="shared" si="16"/>
        <v>40575</v>
      </c>
      <c r="B209" s="14">
        <v>40575</v>
      </c>
      <c r="C209" s="614">
        <f>'Anlg.5  Gebäude +Inventarmiete '!C209</f>
        <v>0.0517</v>
      </c>
      <c r="D209" s="670">
        <f t="shared" si="14"/>
        <v>0</v>
      </c>
    </row>
    <row r="210" spans="1:4" ht="12.75" customHeight="1">
      <c r="A210" s="454">
        <f t="shared" si="16"/>
        <v>40603</v>
      </c>
      <c r="B210" s="14">
        <v>40603</v>
      </c>
      <c r="C210" s="614">
        <f>'Anlg.5  Gebäude +Inventarmiete '!C210</f>
        <v>0.0515</v>
      </c>
      <c r="D210" s="670">
        <f t="shared" si="14"/>
        <v>0</v>
      </c>
    </row>
    <row r="211" spans="1:4" ht="12.75" customHeight="1">
      <c r="A211" s="454">
        <f t="shared" si="16"/>
        <v>40634</v>
      </c>
      <c r="B211" s="14">
        <v>40634</v>
      </c>
      <c r="C211" s="614">
        <f>'Anlg.5  Gebäude +Inventarmiete '!C211</f>
        <v>0.0513</v>
      </c>
      <c r="D211" s="670">
        <f t="shared" si="14"/>
        <v>0</v>
      </c>
    </row>
    <row r="212" spans="1:4" ht="12.75" customHeight="1">
      <c r="A212" s="454">
        <f t="shared" si="16"/>
        <v>40664</v>
      </c>
      <c r="B212" s="14">
        <v>40664</v>
      </c>
      <c r="C212" s="614">
        <f>'Anlg.5  Gebäude +Inventarmiete '!C212</f>
        <v>0.0511</v>
      </c>
      <c r="D212" s="670">
        <f t="shared" si="14"/>
        <v>0</v>
      </c>
    </row>
    <row r="213" spans="1:4" ht="12.75" customHeight="1">
      <c r="A213" s="454">
        <f t="shared" si="16"/>
        <v>40695</v>
      </c>
      <c r="B213" s="14">
        <v>40695</v>
      </c>
      <c r="C213" s="614">
        <f>'Anlg.5  Gebäude +Inventarmiete '!C213</f>
        <v>0.0509</v>
      </c>
      <c r="D213" s="670">
        <f t="shared" si="14"/>
        <v>0</v>
      </c>
    </row>
    <row r="214" spans="1:4" ht="12.75" customHeight="1">
      <c r="A214" s="454">
        <f t="shared" si="16"/>
        <v>40725</v>
      </c>
      <c r="B214" s="14">
        <v>40725</v>
      </c>
      <c r="C214" s="614">
        <f>'Anlg.5  Gebäude +Inventarmiete '!C214</f>
        <v>0.0506</v>
      </c>
      <c r="D214" s="670">
        <f t="shared" si="14"/>
        <v>0</v>
      </c>
    </row>
    <row r="215" spans="1:4" ht="12.75" customHeight="1">
      <c r="A215" s="454">
        <f t="shared" si="16"/>
        <v>40756</v>
      </c>
      <c r="B215" s="14">
        <v>40756</v>
      </c>
      <c r="C215" s="614">
        <f>'Anlg.5  Gebäude +Inventarmiete '!C215</f>
        <v>0.0504</v>
      </c>
      <c r="D215" s="670">
        <f t="shared" si="14"/>
        <v>0</v>
      </c>
    </row>
    <row r="216" spans="1:4" ht="12.75" customHeight="1">
      <c r="A216" s="454">
        <f t="shared" si="16"/>
        <v>40787</v>
      </c>
      <c r="B216" s="14">
        <v>40787</v>
      </c>
      <c r="C216" s="614">
        <f>'Anlg.5  Gebäude +Inventarmiete '!C216</f>
        <v>0.0502</v>
      </c>
      <c r="D216" s="670">
        <f t="shared" si="14"/>
        <v>0</v>
      </c>
    </row>
    <row r="217" spans="1:4" ht="12.75" customHeight="1">
      <c r="A217" s="454">
        <f t="shared" si="16"/>
        <v>40817</v>
      </c>
      <c r="B217" s="14">
        <v>40817</v>
      </c>
      <c r="C217" s="614">
        <f>'Anlg.5  Gebäude +Inventarmiete '!C217</f>
        <v>0.0499</v>
      </c>
      <c r="D217" s="670">
        <f t="shared" si="14"/>
        <v>0</v>
      </c>
    </row>
    <row r="218" spans="1:4" ht="12.75" customHeight="1">
      <c r="A218" s="454">
        <f t="shared" si="16"/>
        <v>40848</v>
      </c>
      <c r="B218" s="14">
        <v>40848</v>
      </c>
      <c r="C218" s="614">
        <f>'Anlg.5  Gebäude +Inventarmiete '!C218</f>
        <v>0.0497</v>
      </c>
      <c r="D218" s="670">
        <f t="shared" si="14"/>
        <v>0</v>
      </c>
    </row>
    <row r="219" spans="1:4" ht="12.75" customHeight="1">
      <c r="A219" s="454">
        <f t="shared" si="16"/>
        <v>40878</v>
      </c>
      <c r="B219" s="14">
        <v>40878</v>
      </c>
      <c r="C219" s="614">
        <f>'Anlg.5  Gebäude +Inventarmiete '!C219</f>
        <v>0.0494</v>
      </c>
      <c r="D219" s="670">
        <f t="shared" si="14"/>
        <v>0</v>
      </c>
    </row>
    <row r="220" spans="1:4" ht="12.75" customHeight="1">
      <c r="A220" s="454">
        <f t="shared" si="16"/>
        <v>40909</v>
      </c>
      <c r="B220" s="14">
        <v>40909</v>
      </c>
      <c r="C220" s="614">
        <f>'Anlg.5  Gebäude +Inventarmiete '!C220</f>
        <v>0.0492</v>
      </c>
      <c r="D220" s="670">
        <f t="shared" si="14"/>
        <v>0</v>
      </c>
    </row>
    <row r="221" spans="1:4" ht="12.75" customHeight="1">
      <c r="A221" s="454">
        <f t="shared" si="16"/>
        <v>40940</v>
      </c>
      <c r="B221" s="14">
        <v>40940</v>
      </c>
      <c r="C221" s="614">
        <f>'Anlg.5  Gebäude +Inventarmiete '!C221</f>
        <v>0.049</v>
      </c>
      <c r="D221" s="670">
        <f t="shared" si="14"/>
        <v>0</v>
      </c>
    </row>
    <row r="222" spans="1:4" ht="12.75" customHeight="1">
      <c r="A222" s="454">
        <f t="shared" si="16"/>
        <v>40969</v>
      </c>
      <c r="B222" s="14">
        <v>40969</v>
      </c>
      <c r="C222" s="614">
        <f>'Anlg.5  Gebäude +Inventarmiete '!C222</f>
        <v>0.0488</v>
      </c>
      <c r="D222" s="670">
        <f t="shared" si="14"/>
        <v>0</v>
      </c>
    </row>
    <row r="223" spans="1:4" ht="12.75" customHeight="1">
      <c r="A223" s="454">
        <f t="shared" si="16"/>
        <v>41000</v>
      </c>
      <c r="B223" s="14">
        <v>41000</v>
      </c>
      <c r="C223" s="614">
        <f>'Anlg.5  Gebäude +Inventarmiete '!C223</f>
        <v>0.0486</v>
      </c>
      <c r="D223" s="670">
        <f t="shared" si="14"/>
        <v>0</v>
      </c>
    </row>
    <row r="224" spans="1:4" ht="12.75" customHeight="1">
      <c r="A224" s="454">
        <f t="shared" si="16"/>
        <v>41030</v>
      </c>
      <c r="B224" s="14">
        <v>41030</v>
      </c>
      <c r="C224" s="614">
        <f>'Anlg.5  Gebäude +Inventarmiete '!C224</f>
        <v>0.0485</v>
      </c>
      <c r="D224" s="670">
        <f t="shared" si="14"/>
        <v>0</v>
      </c>
    </row>
    <row r="225" spans="1:4" ht="12.75" customHeight="1">
      <c r="A225" s="454">
        <f t="shared" si="16"/>
        <v>41061</v>
      </c>
      <c r="B225" s="14">
        <v>41061</v>
      </c>
      <c r="C225" s="614">
        <f>'Anlg.5  Gebäude +Inventarmiete '!C225</f>
        <v>0.0483</v>
      </c>
      <c r="D225" s="670">
        <f t="shared" si="14"/>
        <v>0</v>
      </c>
    </row>
    <row r="226" spans="1:4" ht="12.75" customHeight="1">
      <c r="A226" s="454">
        <f t="shared" si="16"/>
        <v>41091</v>
      </c>
      <c r="B226" s="14">
        <v>41091</v>
      </c>
      <c r="C226" s="614">
        <f>'Anlg.5  Gebäude +Inventarmiete '!C226</f>
        <v>0.0481</v>
      </c>
      <c r="D226" s="670">
        <f t="shared" si="14"/>
        <v>0</v>
      </c>
    </row>
    <row r="227" spans="1:4" ht="12.75" customHeight="1">
      <c r="A227" s="454">
        <f t="shared" si="16"/>
        <v>41122</v>
      </c>
      <c r="B227" s="14">
        <v>41122</v>
      </c>
      <c r="C227" s="614">
        <f>'Anlg.5  Gebäude +Inventarmiete '!C227</f>
        <v>0.048</v>
      </c>
      <c r="D227" s="670">
        <f t="shared" si="14"/>
        <v>0</v>
      </c>
    </row>
    <row r="228" spans="1:4" ht="12.75" customHeight="1">
      <c r="A228" s="454">
        <f t="shared" si="16"/>
        <v>41153</v>
      </c>
      <c r="B228" s="14">
        <v>41153</v>
      </c>
      <c r="C228" s="614">
        <f>'Anlg.5  Gebäude +Inventarmiete '!C228</f>
        <v>0.0478</v>
      </c>
      <c r="D228" s="670">
        <f t="shared" si="14"/>
        <v>0</v>
      </c>
    </row>
    <row r="229" spans="1:4" ht="12.75" customHeight="1">
      <c r="A229" s="454">
        <f t="shared" si="16"/>
        <v>41183</v>
      </c>
      <c r="B229" s="14">
        <v>41183</v>
      </c>
      <c r="C229" s="614">
        <f>'Anlg.5  Gebäude +Inventarmiete '!C229</f>
        <v>0.0476</v>
      </c>
      <c r="D229" s="670">
        <f t="shared" si="14"/>
        <v>0</v>
      </c>
    </row>
    <row r="230" spans="1:4" ht="12.75" customHeight="1">
      <c r="A230" s="454">
        <f t="shared" si="16"/>
        <v>41214</v>
      </c>
      <c r="B230" s="14">
        <v>41214</v>
      </c>
      <c r="C230" s="614">
        <f>'Anlg.5  Gebäude +Inventarmiete '!C230</f>
        <v>0.0474</v>
      </c>
      <c r="D230" s="670">
        <f t="shared" si="14"/>
        <v>0</v>
      </c>
    </row>
    <row r="231" spans="1:4" ht="12.75" customHeight="1">
      <c r="A231" s="454">
        <f t="shared" si="16"/>
        <v>41244</v>
      </c>
      <c r="B231" s="14">
        <v>41244</v>
      </c>
      <c r="C231" s="614">
        <f>'Anlg.5  Gebäude +Inventarmiete '!C231</f>
        <v>0.0472</v>
      </c>
      <c r="D231" s="670">
        <f t="shared" si="14"/>
        <v>0</v>
      </c>
    </row>
    <row r="232" spans="1:4" ht="12.75" customHeight="1">
      <c r="A232" s="454">
        <f t="shared" si="16"/>
        <v>41275</v>
      </c>
      <c r="B232" s="14">
        <v>41275</v>
      </c>
      <c r="C232" s="614">
        <f>'Anlg.5  Gebäude +Inventarmiete '!C232</f>
        <v>0.047</v>
      </c>
      <c r="D232" s="670">
        <f t="shared" si="14"/>
        <v>0</v>
      </c>
    </row>
    <row r="233" spans="1:4" ht="12.75" customHeight="1">
      <c r="A233" s="454">
        <f t="shared" si="16"/>
        <v>41306</v>
      </c>
      <c r="B233" s="14">
        <v>41306</v>
      </c>
      <c r="C233" s="614">
        <f>'Anlg.5  Gebäude +Inventarmiete '!C233</f>
        <v>0.0468</v>
      </c>
      <c r="D233" s="670">
        <f t="shared" si="14"/>
        <v>0</v>
      </c>
    </row>
    <row r="234" spans="1:4" ht="12.75" customHeight="1">
      <c r="A234" s="454">
        <f t="shared" si="16"/>
        <v>41334</v>
      </c>
      <c r="B234" s="14">
        <v>41334</v>
      </c>
      <c r="C234" s="614">
        <f>'Anlg.5  Gebäude +Inventarmiete '!C234</f>
        <v>0.0466</v>
      </c>
      <c r="D234" s="670">
        <f t="shared" si="14"/>
        <v>0</v>
      </c>
    </row>
    <row r="235" spans="1:4" ht="12.75" customHeight="1">
      <c r="A235" s="454">
        <f t="shared" si="16"/>
        <v>41365</v>
      </c>
      <c r="B235" s="14">
        <v>41365</v>
      </c>
      <c r="C235" s="614">
        <f>'Anlg.5  Gebäude +Inventarmiete '!C235</f>
        <v>0.0463</v>
      </c>
      <c r="D235" s="670">
        <f t="shared" si="14"/>
        <v>0</v>
      </c>
    </row>
    <row r="236" spans="1:4" ht="12.75" customHeight="1">
      <c r="A236" s="454">
        <f t="shared" si="16"/>
        <v>41395</v>
      </c>
      <c r="B236" s="14">
        <v>41395</v>
      </c>
      <c r="C236" s="614">
        <f>'Anlg.5  Gebäude +Inventarmiete '!C236</f>
        <v>0.0461</v>
      </c>
      <c r="D236" s="670">
        <f t="shared" si="14"/>
        <v>0</v>
      </c>
    </row>
    <row r="237" spans="1:4" ht="12.75" customHeight="1">
      <c r="A237" s="454">
        <f t="shared" si="16"/>
        <v>41426</v>
      </c>
      <c r="B237" s="14">
        <v>41426</v>
      </c>
      <c r="C237" s="614">
        <f>'Anlg.5  Gebäude +Inventarmiete '!C237</f>
        <v>0.0458</v>
      </c>
      <c r="D237" s="670">
        <f t="shared" si="14"/>
        <v>0</v>
      </c>
    </row>
    <row r="238" spans="1:4" ht="12.75" customHeight="1">
      <c r="A238" s="454">
        <f t="shared" si="16"/>
        <v>41456</v>
      </c>
      <c r="B238" s="14">
        <v>41456</v>
      </c>
      <c r="C238" s="614">
        <f>'Anlg.5  Gebäude +Inventarmiete '!C238</f>
        <v>0.0456</v>
      </c>
      <c r="D238" s="670">
        <f t="shared" si="14"/>
        <v>0</v>
      </c>
    </row>
    <row r="239" spans="1:4" ht="12.75" customHeight="1">
      <c r="A239" s="454">
        <f t="shared" si="16"/>
        <v>41487</v>
      </c>
      <c r="B239" s="14">
        <v>41487</v>
      </c>
      <c r="C239" s="614">
        <f>'Anlg.5  Gebäude +Inventarmiete '!C239</f>
        <v>0.0453</v>
      </c>
      <c r="D239" s="670">
        <f t="shared" si="14"/>
        <v>0</v>
      </c>
    </row>
    <row r="240" spans="1:4" ht="12.75" customHeight="1">
      <c r="A240" s="454">
        <f t="shared" si="16"/>
        <v>41518</v>
      </c>
      <c r="B240" s="14">
        <v>41518</v>
      </c>
      <c r="C240" s="614">
        <f>'Anlg.5  Gebäude +Inventarmiete '!C240</f>
        <v>0.0451</v>
      </c>
      <c r="D240" s="670">
        <f t="shared" si="14"/>
        <v>0</v>
      </c>
    </row>
    <row r="241" spans="1:4" ht="12.75" customHeight="1">
      <c r="A241" s="454">
        <f t="shared" si="16"/>
        <v>41548</v>
      </c>
      <c r="B241" s="14">
        <v>41548</v>
      </c>
      <c r="C241" s="614">
        <f>'Anlg.5  Gebäude +Inventarmiete '!C241</f>
        <v>0.0448</v>
      </c>
      <c r="D241" s="670">
        <f t="shared" si="14"/>
        <v>0</v>
      </c>
    </row>
    <row r="242" spans="1:4" ht="12.75" customHeight="1">
      <c r="A242" s="454">
        <f t="shared" si="16"/>
        <v>41579</v>
      </c>
      <c r="B242" s="14">
        <v>41579</v>
      </c>
      <c r="C242" s="614">
        <f>'Anlg.5  Gebäude +Inventarmiete '!C242</f>
        <v>0.0446</v>
      </c>
      <c r="D242" s="670">
        <f t="shared" si="14"/>
        <v>0</v>
      </c>
    </row>
    <row r="243" spans="1:4" ht="12.75" customHeight="1">
      <c r="A243" s="454">
        <f t="shared" si="16"/>
        <v>41609</v>
      </c>
      <c r="B243" s="14">
        <v>41609</v>
      </c>
      <c r="C243" s="614">
        <f>'Anlg.5  Gebäude +Inventarmiete '!C243</f>
        <v>0.0444</v>
      </c>
      <c r="D243" s="670">
        <f t="shared" si="14"/>
        <v>0</v>
      </c>
    </row>
    <row r="244" spans="1:4" ht="12.75" customHeight="1">
      <c r="A244" s="454">
        <f t="shared" si="16"/>
        <v>41640</v>
      </c>
      <c r="B244" s="14">
        <v>41640</v>
      </c>
      <c r="C244" s="614">
        <f>'Anlg.5  Gebäude +Inventarmiete '!C244</f>
        <v>0.0441</v>
      </c>
      <c r="D244" s="670">
        <f t="shared" si="14"/>
        <v>0</v>
      </c>
    </row>
    <row r="245" spans="1:4" ht="12.75" customHeight="1">
      <c r="A245" s="454">
        <f t="shared" si="16"/>
        <v>41671</v>
      </c>
      <c r="B245" s="14">
        <v>41671</v>
      </c>
      <c r="C245" s="614">
        <f>'Anlg.5  Gebäude +Inventarmiete '!C245</f>
        <v>0.0439</v>
      </c>
      <c r="D245" s="670">
        <f t="shared" si="14"/>
        <v>0</v>
      </c>
    </row>
    <row r="246" spans="1:4" ht="12.75" customHeight="1">
      <c r="A246" s="454">
        <f t="shared" si="16"/>
        <v>41699</v>
      </c>
      <c r="B246" s="14">
        <v>41699</v>
      </c>
      <c r="C246" s="614">
        <f>'Anlg.5  Gebäude +Inventarmiete '!C246</f>
        <v>0.0437</v>
      </c>
      <c r="D246" s="670">
        <f t="shared" si="14"/>
        <v>0</v>
      </c>
    </row>
    <row r="247" spans="1:4" ht="12.75" customHeight="1">
      <c r="A247" s="454">
        <f t="shared" si="16"/>
        <v>41730</v>
      </c>
      <c r="B247" s="14">
        <v>41730</v>
      </c>
      <c r="C247" s="614">
        <f>'Anlg.5  Gebäude +Inventarmiete '!C247</f>
        <v>0.0435</v>
      </c>
      <c r="D247" s="670">
        <f aca="true" t="shared" si="17" ref="D247:D303">IF(C247&gt;0,0,C246+D246)</f>
        <v>0</v>
      </c>
    </row>
    <row r="248" spans="1:4" ht="12.75" customHeight="1">
      <c r="A248" s="454">
        <f t="shared" si="16"/>
        <v>41760</v>
      </c>
      <c r="B248" s="14">
        <v>41760</v>
      </c>
      <c r="C248" s="614">
        <f>'Anlg.5  Gebäude +Inventarmiete '!C248</f>
        <v>0.0433</v>
      </c>
      <c r="D248" s="670">
        <f t="shared" si="17"/>
        <v>0</v>
      </c>
    </row>
    <row r="249" spans="1:4" ht="12.75" customHeight="1">
      <c r="A249" s="454">
        <f t="shared" si="16"/>
        <v>41791</v>
      </c>
      <c r="B249" s="14">
        <v>41791</v>
      </c>
      <c r="C249" s="614">
        <f>'Anlg.5  Gebäude +Inventarmiete '!C249</f>
        <v>0.0431</v>
      </c>
      <c r="D249" s="670">
        <f t="shared" si="17"/>
        <v>0</v>
      </c>
    </row>
    <row r="250" spans="1:4" ht="12.75" customHeight="1">
      <c r="A250" s="454">
        <f t="shared" si="16"/>
        <v>41821</v>
      </c>
      <c r="B250" s="14">
        <v>41821</v>
      </c>
      <c r="C250" s="614">
        <f>'Anlg.5  Gebäude +Inventarmiete '!C250</f>
        <v>0.0429</v>
      </c>
      <c r="D250" s="670">
        <f t="shared" si="17"/>
        <v>0</v>
      </c>
    </row>
    <row r="251" spans="1:4" ht="12.75" customHeight="1">
      <c r="A251" s="454">
        <f t="shared" si="16"/>
        <v>41852</v>
      </c>
      <c r="B251" s="14">
        <v>41852</v>
      </c>
      <c r="C251" s="614">
        <f>'Anlg.5  Gebäude +Inventarmiete '!C251</f>
        <v>0.0428</v>
      </c>
      <c r="D251" s="670">
        <f t="shared" si="17"/>
        <v>0</v>
      </c>
    </row>
    <row r="252" spans="1:4" ht="12.75" customHeight="1">
      <c r="A252" s="454">
        <f t="shared" si="16"/>
        <v>41883</v>
      </c>
      <c r="B252" s="14">
        <v>41883</v>
      </c>
      <c r="C252" s="614">
        <f>'Anlg.5  Gebäude +Inventarmiete '!C252</f>
        <v>0.0426</v>
      </c>
      <c r="D252" s="670">
        <f t="shared" si="17"/>
        <v>0</v>
      </c>
    </row>
    <row r="253" spans="1:4" ht="12.75" customHeight="1">
      <c r="A253" s="454">
        <f t="shared" si="16"/>
        <v>41913</v>
      </c>
      <c r="B253" s="14">
        <v>41913</v>
      </c>
      <c r="C253" s="614">
        <f>'Anlg.5  Gebäude +Inventarmiete '!C253</f>
        <v>0.0424</v>
      </c>
      <c r="D253" s="670">
        <f t="shared" si="17"/>
        <v>0</v>
      </c>
    </row>
    <row r="254" spans="1:4" ht="12.75" customHeight="1">
      <c r="A254" s="454">
        <f t="shared" si="16"/>
        <v>0</v>
      </c>
      <c r="B254" s="14">
        <v>41944</v>
      </c>
      <c r="C254" s="614">
        <f>'Anlg.5  Gebäude +Inventarmiete '!C254</f>
        <v>0</v>
      </c>
      <c r="D254" s="670">
        <f t="shared" si="17"/>
        <v>0.0424</v>
      </c>
    </row>
    <row r="255" spans="1:4" ht="12.75" customHeight="1">
      <c r="A255" s="454">
        <f t="shared" si="16"/>
        <v>0</v>
      </c>
      <c r="B255" s="14">
        <v>41974</v>
      </c>
      <c r="C255" s="614">
        <f>'Anlg.5  Gebäude +Inventarmiete '!C255</f>
        <v>0</v>
      </c>
      <c r="D255" s="670">
        <f t="shared" si="17"/>
        <v>0.0424</v>
      </c>
    </row>
    <row r="256" spans="1:4" ht="12.75" customHeight="1">
      <c r="A256" s="454">
        <f t="shared" si="16"/>
        <v>0</v>
      </c>
      <c r="B256" s="14">
        <v>42005</v>
      </c>
      <c r="C256" s="614">
        <f>'Anlg.5  Gebäude +Inventarmiete '!C256</f>
        <v>0</v>
      </c>
      <c r="D256" s="670">
        <f t="shared" si="17"/>
        <v>0.0424</v>
      </c>
    </row>
    <row r="257" spans="1:4" ht="12.75" customHeight="1">
      <c r="A257" s="454">
        <f t="shared" si="16"/>
        <v>0</v>
      </c>
      <c r="B257" s="14">
        <v>42036</v>
      </c>
      <c r="C257" s="614">
        <f>'Anlg.5  Gebäude +Inventarmiete '!C257</f>
        <v>0</v>
      </c>
      <c r="D257" s="670">
        <f t="shared" si="17"/>
        <v>0.0424</v>
      </c>
    </row>
    <row r="258" spans="1:4" ht="12.75" customHeight="1">
      <c r="A258" s="454">
        <f t="shared" si="16"/>
        <v>0</v>
      </c>
      <c r="B258" s="14">
        <v>42064</v>
      </c>
      <c r="C258" s="614">
        <f>'Anlg.5  Gebäude +Inventarmiete '!C258</f>
        <v>0</v>
      </c>
      <c r="D258" s="670">
        <f t="shared" si="17"/>
        <v>0.0424</v>
      </c>
    </row>
    <row r="259" spans="1:4" ht="12.75" customHeight="1">
      <c r="A259" s="454">
        <f t="shared" si="16"/>
        <v>0</v>
      </c>
      <c r="B259" s="14">
        <v>42095</v>
      </c>
      <c r="C259" s="614">
        <f>'Anlg.5  Gebäude +Inventarmiete '!C259</f>
        <v>0</v>
      </c>
      <c r="D259" s="670">
        <f t="shared" si="17"/>
        <v>0.0424</v>
      </c>
    </row>
    <row r="260" spans="1:4" ht="12.75" customHeight="1">
      <c r="A260" s="454">
        <f aca="true" t="shared" si="18" ref="A260:A304">IF(C260&gt;0,B260,0)</f>
        <v>0</v>
      </c>
      <c r="B260" s="14">
        <v>42125</v>
      </c>
      <c r="C260" s="614">
        <f>'Anlg.5  Gebäude +Inventarmiete '!C260</f>
        <v>0</v>
      </c>
      <c r="D260" s="670">
        <f t="shared" si="17"/>
        <v>0.0424</v>
      </c>
    </row>
    <row r="261" spans="1:4" ht="12.75" customHeight="1">
      <c r="A261" s="454">
        <f t="shared" si="18"/>
        <v>0</v>
      </c>
      <c r="B261" s="14">
        <v>42156</v>
      </c>
      <c r="C261" s="614">
        <f>'Anlg.5  Gebäude +Inventarmiete '!C261</f>
        <v>0</v>
      </c>
      <c r="D261" s="670">
        <f t="shared" si="17"/>
        <v>0.0424</v>
      </c>
    </row>
    <row r="262" spans="1:4" ht="12.75" customHeight="1">
      <c r="A262" s="454">
        <f t="shared" si="18"/>
        <v>0</v>
      </c>
      <c r="B262" s="14">
        <v>42186</v>
      </c>
      <c r="C262" s="614">
        <f>'Anlg.5  Gebäude +Inventarmiete '!C262</f>
        <v>0</v>
      </c>
      <c r="D262" s="670">
        <f t="shared" si="17"/>
        <v>0.0424</v>
      </c>
    </row>
    <row r="263" spans="1:4" ht="12.75" customHeight="1">
      <c r="A263" s="454">
        <f t="shared" si="18"/>
        <v>0</v>
      </c>
      <c r="B263" s="14">
        <v>42217</v>
      </c>
      <c r="C263" s="614">
        <f>'Anlg.5  Gebäude +Inventarmiete '!C263</f>
        <v>0</v>
      </c>
      <c r="D263" s="670">
        <f t="shared" si="17"/>
        <v>0.0424</v>
      </c>
    </row>
    <row r="264" spans="1:4" ht="12.75" customHeight="1">
      <c r="A264" s="454">
        <f t="shared" si="18"/>
        <v>0</v>
      </c>
      <c r="B264" s="14">
        <v>42248</v>
      </c>
      <c r="C264" s="614">
        <f>'Anlg.5  Gebäude +Inventarmiete '!C264</f>
        <v>0</v>
      </c>
      <c r="D264" s="670">
        <f t="shared" si="17"/>
        <v>0.0424</v>
      </c>
    </row>
    <row r="265" spans="1:4" ht="12.75" customHeight="1">
      <c r="A265" s="454">
        <f t="shared" si="18"/>
        <v>0</v>
      </c>
      <c r="B265" s="14">
        <v>42278</v>
      </c>
      <c r="C265" s="614">
        <f>'Anlg.5  Gebäude +Inventarmiete '!C265</f>
        <v>0</v>
      </c>
      <c r="D265" s="670">
        <f t="shared" si="17"/>
        <v>0.0424</v>
      </c>
    </row>
    <row r="266" spans="1:4" ht="12.75" customHeight="1">
      <c r="A266" s="454">
        <f t="shared" si="18"/>
        <v>0</v>
      </c>
      <c r="B266" s="14">
        <v>42309</v>
      </c>
      <c r="C266" s="614">
        <f>'Anlg.5  Gebäude +Inventarmiete '!C266</f>
        <v>0</v>
      </c>
      <c r="D266" s="670">
        <f t="shared" si="17"/>
        <v>0.0424</v>
      </c>
    </row>
    <row r="267" spans="1:4" ht="12.75" customHeight="1">
      <c r="A267" s="454">
        <f t="shared" si="18"/>
        <v>0</v>
      </c>
      <c r="B267" s="14">
        <v>42339</v>
      </c>
      <c r="C267" s="614">
        <f>'Anlg.5  Gebäude +Inventarmiete '!C267</f>
        <v>0</v>
      </c>
      <c r="D267" s="670">
        <f t="shared" si="17"/>
        <v>0.0424</v>
      </c>
    </row>
    <row r="268" spans="1:4" ht="12.75">
      <c r="A268" s="454">
        <f t="shared" si="18"/>
        <v>0</v>
      </c>
      <c r="B268" s="14">
        <v>42370</v>
      </c>
      <c r="C268" s="614">
        <f>'Anlg.5  Gebäude +Inventarmiete '!C268</f>
        <v>0</v>
      </c>
      <c r="D268" s="670">
        <f t="shared" si="17"/>
        <v>0.0424</v>
      </c>
    </row>
    <row r="269" spans="1:4" ht="12.75">
      <c r="A269" s="454">
        <f t="shared" si="18"/>
        <v>0</v>
      </c>
      <c r="B269" s="14">
        <v>42401</v>
      </c>
      <c r="C269" s="614">
        <f>'Anlg.5  Gebäude +Inventarmiete '!C269</f>
        <v>0</v>
      </c>
      <c r="D269" s="670">
        <f t="shared" si="17"/>
        <v>0.0424</v>
      </c>
    </row>
    <row r="270" spans="1:4" ht="12.75">
      <c r="A270" s="454">
        <f t="shared" si="18"/>
        <v>0</v>
      </c>
      <c r="B270" s="14">
        <v>42430</v>
      </c>
      <c r="C270" s="614">
        <f>'Anlg.5  Gebäude +Inventarmiete '!C270</f>
        <v>0</v>
      </c>
      <c r="D270" s="670">
        <f t="shared" si="17"/>
        <v>0.0424</v>
      </c>
    </row>
    <row r="271" spans="1:4" ht="12.75">
      <c r="A271" s="454">
        <f t="shared" si="18"/>
        <v>0</v>
      </c>
      <c r="B271" s="14">
        <v>42461</v>
      </c>
      <c r="C271" s="614">
        <f>'Anlg.5  Gebäude +Inventarmiete '!C271</f>
        <v>0</v>
      </c>
      <c r="D271" s="670">
        <f t="shared" si="17"/>
        <v>0.0424</v>
      </c>
    </row>
    <row r="272" spans="1:4" ht="12.75">
      <c r="A272" s="454">
        <f t="shared" si="18"/>
        <v>0</v>
      </c>
      <c r="B272" s="14">
        <v>42491</v>
      </c>
      <c r="C272" s="614">
        <f>'Anlg.5  Gebäude +Inventarmiete '!C272</f>
        <v>0</v>
      </c>
      <c r="D272" s="670">
        <f t="shared" si="17"/>
        <v>0.0424</v>
      </c>
    </row>
    <row r="273" spans="1:4" ht="12.75">
      <c r="A273" s="454">
        <f t="shared" si="18"/>
        <v>0</v>
      </c>
      <c r="B273" s="14">
        <v>42522</v>
      </c>
      <c r="C273" s="614">
        <f>'Anlg.5  Gebäude +Inventarmiete '!C273</f>
        <v>0</v>
      </c>
      <c r="D273" s="670">
        <f t="shared" si="17"/>
        <v>0.0424</v>
      </c>
    </row>
    <row r="274" spans="1:4" ht="12.75">
      <c r="A274" s="454">
        <f t="shared" si="18"/>
        <v>0</v>
      </c>
      <c r="B274" s="14">
        <v>42552</v>
      </c>
      <c r="C274" s="614">
        <f>'Anlg.5  Gebäude +Inventarmiete '!C274</f>
        <v>0</v>
      </c>
      <c r="D274" s="670">
        <f t="shared" si="17"/>
        <v>0.0424</v>
      </c>
    </row>
    <row r="275" spans="1:4" ht="12.75">
      <c r="A275" s="454">
        <f t="shared" si="18"/>
        <v>0</v>
      </c>
      <c r="B275" s="14">
        <v>42583</v>
      </c>
      <c r="C275" s="614">
        <f>'Anlg.5  Gebäude +Inventarmiete '!C275</f>
        <v>0</v>
      </c>
      <c r="D275" s="670">
        <f t="shared" si="17"/>
        <v>0.0424</v>
      </c>
    </row>
    <row r="276" spans="1:4" ht="12.75">
      <c r="A276" s="454">
        <f t="shared" si="18"/>
        <v>0</v>
      </c>
      <c r="B276" s="14">
        <v>42614</v>
      </c>
      <c r="C276" s="614">
        <f>'Anlg.5  Gebäude +Inventarmiete '!C276</f>
        <v>0</v>
      </c>
      <c r="D276" s="670">
        <f t="shared" si="17"/>
        <v>0.0424</v>
      </c>
    </row>
    <row r="277" spans="1:4" ht="12.75">
      <c r="A277" s="454">
        <f t="shared" si="18"/>
        <v>0</v>
      </c>
      <c r="B277" s="14">
        <v>42644</v>
      </c>
      <c r="C277" s="614">
        <f>'Anlg.5  Gebäude +Inventarmiete '!C277</f>
        <v>0</v>
      </c>
      <c r="D277" s="670">
        <f t="shared" si="17"/>
        <v>0.0424</v>
      </c>
    </row>
    <row r="278" spans="1:4" ht="12.75">
      <c r="A278" s="454">
        <f t="shared" si="18"/>
        <v>0</v>
      </c>
      <c r="B278" s="14">
        <v>42675</v>
      </c>
      <c r="C278" s="614">
        <f>'Anlg.5  Gebäude +Inventarmiete '!C278</f>
        <v>0</v>
      </c>
      <c r="D278" s="670">
        <f t="shared" si="17"/>
        <v>0.0424</v>
      </c>
    </row>
    <row r="279" spans="1:4" ht="12.75">
      <c r="A279" s="454">
        <f t="shared" si="18"/>
        <v>0</v>
      </c>
      <c r="B279" s="14">
        <v>42705</v>
      </c>
      <c r="C279" s="614">
        <f>'Anlg.5  Gebäude +Inventarmiete '!C279</f>
        <v>0</v>
      </c>
      <c r="D279" s="670">
        <f t="shared" si="17"/>
        <v>0.0424</v>
      </c>
    </row>
    <row r="280" spans="1:4" ht="12.75">
      <c r="A280" s="454">
        <f t="shared" si="18"/>
        <v>0</v>
      </c>
      <c r="B280" s="14">
        <v>42736</v>
      </c>
      <c r="C280" s="614">
        <f>'Anlg.5  Gebäude +Inventarmiete '!C280</f>
        <v>0</v>
      </c>
      <c r="D280" s="670">
        <f t="shared" si="17"/>
        <v>0.0424</v>
      </c>
    </row>
    <row r="281" spans="1:4" ht="12.75">
      <c r="A281" s="454">
        <f t="shared" si="18"/>
        <v>0</v>
      </c>
      <c r="B281" s="14">
        <v>42767</v>
      </c>
      <c r="C281" s="614">
        <f>'Anlg.5  Gebäude +Inventarmiete '!C281</f>
        <v>0</v>
      </c>
      <c r="D281" s="670">
        <f t="shared" si="17"/>
        <v>0.0424</v>
      </c>
    </row>
    <row r="282" spans="1:4" ht="12.75">
      <c r="A282" s="454">
        <f t="shared" si="18"/>
        <v>0</v>
      </c>
      <c r="B282" s="14">
        <v>42795</v>
      </c>
      <c r="C282" s="614">
        <f>'Anlg.5  Gebäude +Inventarmiete '!C282</f>
        <v>0</v>
      </c>
      <c r="D282" s="670">
        <f t="shared" si="17"/>
        <v>0.0424</v>
      </c>
    </row>
    <row r="283" spans="1:4" ht="12.75">
      <c r="A283" s="454">
        <f t="shared" si="18"/>
        <v>0</v>
      </c>
      <c r="B283" s="14">
        <v>42826</v>
      </c>
      <c r="C283" s="614">
        <f>'Anlg.5  Gebäude +Inventarmiete '!C283</f>
        <v>0</v>
      </c>
      <c r="D283" s="670">
        <f t="shared" si="17"/>
        <v>0.0424</v>
      </c>
    </row>
    <row r="284" spans="1:4" ht="12.75">
      <c r="A284" s="454">
        <f t="shared" si="18"/>
        <v>0</v>
      </c>
      <c r="B284" s="14">
        <v>42856</v>
      </c>
      <c r="C284" s="614">
        <f>'Anlg.5  Gebäude +Inventarmiete '!C284</f>
        <v>0</v>
      </c>
      <c r="D284" s="670">
        <f t="shared" si="17"/>
        <v>0.0424</v>
      </c>
    </row>
    <row r="285" spans="1:4" ht="12.75">
      <c r="A285" s="454">
        <f t="shared" si="18"/>
        <v>0</v>
      </c>
      <c r="B285" s="14">
        <v>42887</v>
      </c>
      <c r="C285" s="614">
        <f>'Anlg.5  Gebäude +Inventarmiete '!C285</f>
        <v>0</v>
      </c>
      <c r="D285" s="670">
        <f t="shared" si="17"/>
        <v>0.0424</v>
      </c>
    </row>
    <row r="286" spans="1:4" ht="12.75">
      <c r="A286" s="454">
        <f t="shared" si="18"/>
        <v>0</v>
      </c>
      <c r="B286" s="14">
        <v>42917</v>
      </c>
      <c r="C286" s="614">
        <f>'Anlg.5  Gebäude +Inventarmiete '!C286</f>
        <v>0</v>
      </c>
      <c r="D286" s="670">
        <f t="shared" si="17"/>
        <v>0.0424</v>
      </c>
    </row>
    <row r="287" spans="1:4" ht="12.75">
      <c r="A287" s="454">
        <f t="shared" si="18"/>
        <v>0</v>
      </c>
      <c r="B287" s="14">
        <v>42948</v>
      </c>
      <c r="C287" s="614">
        <f>'Anlg.5  Gebäude +Inventarmiete '!C287</f>
        <v>0</v>
      </c>
      <c r="D287" s="670">
        <f t="shared" si="17"/>
        <v>0.0424</v>
      </c>
    </row>
    <row r="288" spans="1:4" ht="12.75">
      <c r="A288" s="454">
        <f t="shared" si="18"/>
        <v>0</v>
      </c>
      <c r="B288" s="14">
        <v>42979</v>
      </c>
      <c r="C288" s="614">
        <f>'Anlg.5  Gebäude +Inventarmiete '!C288</f>
        <v>0</v>
      </c>
      <c r="D288" s="670">
        <f t="shared" si="17"/>
        <v>0.0424</v>
      </c>
    </row>
    <row r="289" spans="1:4" ht="12.75">
      <c r="A289" s="454">
        <f t="shared" si="18"/>
        <v>0</v>
      </c>
      <c r="B289" s="14">
        <v>43009</v>
      </c>
      <c r="C289" s="614">
        <f>'Anlg.5  Gebäude +Inventarmiete '!C289</f>
        <v>0</v>
      </c>
      <c r="D289" s="670">
        <f t="shared" si="17"/>
        <v>0.0424</v>
      </c>
    </row>
    <row r="290" spans="1:4" ht="12.75">
      <c r="A290" s="454">
        <f t="shared" si="18"/>
        <v>0</v>
      </c>
      <c r="B290" s="14">
        <v>43040</v>
      </c>
      <c r="C290" s="614">
        <f>'Anlg.5  Gebäude +Inventarmiete '!C290</f>
        <v>0</v>
      </c>
      <c r="D290" s="670">
        <f t="shared" si="17"/>
        <v>0.0424</v>
      </c>
    </row>
    <row r="291" spans="1:4" ht="12.75">
      <c r="A291" s="454">
        <f t="shared" si="18"/>
        <v>0</v>
      </c>
      <c r="B291" s="14">
        <v>43070</v>
      </c>
      <c r="C291" s="614">
        <f>'Anlg.5  Gebäude +Inventarmiete '!C291</f>
        <v>0</v>
      </c>
      <c r="D291" s="670">
        <f t="shared" si="17"/>
        <v>0.0424</v>
      </c>
    </row>
    <row r="292" spans="1:4" ht="12.75">
      <c r="A292" s="454">
        <f t="shared" si="18"/>
        <v>0</v>
      </c>
      <c r="B292" s="14">
        <v>43101</v>
      </c>
      <c r="C292" s="614">
        <f>'Anlg.5  Gebäude +Inventarmiete '!C292</f>
        <v>0</v>
      </c>
      <c r="D292" s="670">
        <f t="shared" si="17"/>
        <v>0.0424</v>
      </c>
    </row>
    <row r="293" spans="1:4" ht="12.75">
      <c r="A293" s="454">
        <f t="shared" si="18"/>
        <v>0</v>
      </c>
      <c r="B293" s="14">
        <v>43132</v>
      </c>
      <c r="C293" s="614">
        <f>'Anlg.5  Gebäude +Inventarmiete '!C293</f>
        <v>0</v>
      </c>
      <c r="D293" s="670">
        <f t="shared" si="17"/>
        <v>0.0424</v>
      </c>
    </row>
    <row r="294" spans="1:4" ht="12.75">
      <c r="A294" s="454">
        <f t="shared" si="18"/>
        <v>0</v>
      </c>
      <c r="B294" s="14">
        <v>43160</v>
      </c>
      <c r="C294" s="614">
        <f>'Anlg.5  Gebäude +Inventarmiete '!C294</f>
        <v>0</v>
      </c>
      <c r="D294" s="670">
        <f t="shared" si="17"/>
        <v>0.0424</v>
      </c>
    </row>
    <row r="295" spans="1:4" ht="12.75">
      <c r="A295" s="454">
        <f t="shared" si="18"/>
        <v>0</v>
      </c>
      <c r="B295" s="14">
        <v>43191</v>
      </c>
      <c r="C295" s="614">
        <f>'Anlg.5  Gebäude +Inventarmiete '!C295</f>
        <v>0</v>
      </c>
      <c r="D295" s="670">
        <f t="shared" si="17"/>
        <v>0.0424</v>
      </c>
    </row>
    <row r="296" spans="1:4" ht="12.75">
      <c r="A296" s="454">
        <f t="shared" si="18"/>
        <v>0</v>
      </c>
      <c r="B296" s="14">
        <v>43221</v>
      </c>
      <c r="C296" s="614">
        <f>'Anlg.5  Gebäude +Inventarmiete '!C296</f>
        <v>0</v>
      </c>
      <c r="D296" s="670">
        <f t="shared" si="17"/>
        <v>0.0424</v>
      </c>
    </row>
    <row r="297" spans="1:4" ht="12.75">
      <c r="A297" s="454">
        <f t="shared" si="18"/>
        <v>0</v>
      </c>
      <c r="B297" s="14">
        <v>43252</v>
      </c>
      <c r="C297" s="614">
        <f>'Anlg.5  Gebäude +Inventarmiete '!C297</f>
        <v>0</v>
      </c>
      <c r="D297" s="670">
        <f t="shared" si="17"/>
        <v>0.0424</v>
      </c>
    </row>
    <row r="298" spans="1:4" ht="12.75">
      <c r="A298" s="454">
        <f t="shared" si="18"/>
        <v>0</v>
      </c>
      <c r="B298" s="14">
        <v>43282</v>
      </c>
      <c r="C298" s="614">
        <f>'Anlg.5  Gebäude +Inventarmiete '!C298</f>
        <v>0</v>
      </c>
      <c r="D298" s="670">
        <f t="shared" si="17"/>
        <v>0.0424</v>
      </c>
    </row>
    <row r="299" spans="1:4" ht="12.75">
      <c r="A299" s="454">
        <f t="shared" si="18"/>
        <v>0</v>
      </c>
      <c r="B299" s="14">
        <v>43313</v>
      </c>
      <c r="C299" s="614">
        <f>'Anlg.5  Gebäude +Inventarmiete '!C299</f>
        <v>0</v>
      </c>
      <c r="D299" s="670">
        <f t="shared" si="17"/>
        <v>0.0424</v>
      </c>
    </row>
    <row r="300" spans="1:4" ht="12.75">
      <c r="A300" s="454">
        <f t="shared" si="18"/>
        <v>0</v>
      </c>
      <c r="B300" s="14">
        <v>43344</v>
      </c>
      <c r="C300" s="614">
        <f>'Anlg.5  Gebäude +Inventarmiete '!C300</f>
        <v>0</v>
      </c>
      <c r="D300" s="670">
        <f t="shared" si="17"/>
        <v>0.0424</v>
      </c>
    </row>
    <row r="301" spans="1:4" ht="12.75">
      <c r="A301" s="454">
        <f t="shared" si="18"/>
        <v>0</v>
      </c>
      <c r="B301" s="14">
        <v>43374</v>
      </c>
      <c r="C301" s="614">
        <f>'Anlg.5  Gebäude +Inventarmiete '!C301</f>
        <v>0</v>
      </c>
      <c r="D301" s="670">
        <f t="shared" si="17"/>
        <v>0.0424</v>
      </c>
    </row>
    <row r="302" spans="1:4" ht="12.75">
      <c r="A302" s="454">
        <f t="shared" si="18"/>
        <v>0</v>
      </c>
      <c r="B302" s="14">
        <v>43405</v>
      </c>
      <c r="C302" s="614">
        <f>'Anlg.5  Gebäude +Inventarmiete '!C302</f>
        <v>0</v>
      </c>
      <c r="D302" s="670">
        <f t="shared" si="17"/>
        <v>0.0424</v>
      </c>
    </row>
    <row r="303" spans="1:4" ht="12.75">
      <c r="A303" s="454">
        <f t="shared" si="18"/>
        <v>0</v>
      </c>
      <c r="B303" s="14">
        <v>43435</v>
      </c>
      <c r="C303" s="614">
        <f>'Anlg.5  Gebäude +Inventarmiete '!C303</f>
        <v>0</v>
      </c>
      <c r="D303" s="670">
        <f t="shared" si="17"/>
        <v>0.0424</v>
      </c>
    </row>
    <row r="304" spans="1:4" ht="12.75" customHeight="1" thickBot="1">
      <c r="A304" s="454">
        <f t="shared" si="18"/>
        <v>0</v>
      </c>
      <c r="B304" s="455"/>
      <c r="C304" s="947" t="s">
        <v>91</v>
      </c>
      <c r="D304" s="453"/>
    </row>
  </sheetData>
  <sheetProtection password="DB77" sheet="1" objects="1" scenarios="1"/>
  <mergeCells count="25">
    <mergeCell ref="J28:M29"/>
    <mergeCell ref="D30:E30"/>
    <mergeCell ref="A6:H6"/>
    <mergeCell ref="A4:E4"/>
    <mergeCell ref="F4:G4"/>
    <mergeCell ref="A12:G12"/>
    <mergeCell ref="A8:H8"/>
    <mergeCell ref="A13:G13"/>
    <mergeCell ref="A14:G14"/>
    <mergeCell ref="A24:F24"/>
    <mergeCell ref="A17:G17"/>
    <mergeCell ref="A21:G21"/>
    <mergeCell ref="D61:F61"/>
    <mergeCell ref="E90:F90"/>
    <mergeCell ref="G24:H25"/>
    <mergeCell ref="A25:F25"/>
    <mergeCell ref="A22:G22"/>
    <mergeCell ref="A19:G19"/>
    <mergeCell ref="E91:F91"/>
    <mergeCell ref="A36:H36"/>
    <mergeCell ref="A44:C44"/>
    <mergeCell ref="A48:F48"/>
    <mergeCell ref="G48:H48"/>
    <mergeCell ref="A55:H55"/>
    <mergeCell ref="A49:F49"/>
  </mergeCells>
  <printOptions/>
  <pageMargins left="0.83" right="0.24" top="0.45" bottom="0.5118110236220472" header="0.38" footer="0.2362204724409449"/>
  <pageSetup fitToHeight="0" fitToWidth="1" horizontalDpi="600" verticalDpi="600" orientation="portrait" paperSize="9" scale="87" r:id="rId2"/>
  <headerFooter alignWithMargins="0">
    <oddFooter>&amp;L&amp;F&amp;R&amp;A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K55"/>
  <sheetViews>
    <sheetView zoomScale="75" zoomScaleNormal="75" zoomScalePageLayoutView="0" workbookViewId="0" topLeftCell="A1">
      <selection activeCell="B5" sqref="B5"/>
    </sheetView>
  </sheetViews>
  <sheetFormatPr defaultColWidth="11.421875" defaultRowHeight="12.75"/>
  <cols>
    <col min="1" max="1" width="5.140625" style="245" customWidth="1"/>
    <col min="2" max="2" width="19.8515625" style="245" customWidth="1"/>
    <col min="3" max="3" width="32.140625" style="245" customWidth="1"/>
    <col min="4" max="4" width="11.421875" style="245" customWidth="1"/>
    <col min="5" max="5" width="22.00390625" style="245" customWidth="1"/>
    <col min="6" max="6" width="11.28125" style="245" customWidth="1"/>
    <col min="7" max="7" width="26.28125" style="245" customWidth="1"/>
    <col min="8" max="8" width="5.140625" style="245" customWidth="1"/>
    <col min="9" max="9" width="6.28125" style="245" customWidth="1"/>
    <col min="10" max="10" width="11.421875" style="980" customWidth="1"/>
    <col min="11" max="16384" width="11.421875" style="245" customWidth="1"/>
  </cols>
  <sheetData>
    <row r="1" spans="2:7" ht="23.25" thickTop="1">
      <c r="B1" s="960" t="s">
        <v>10</v>
      </c>
      <c r="C1" s="964" t="str">
        <f>IF(G4="nein","Eigenkapitalverzinsung (§ 4 Abs. 1 Ziffer 2 GesBerVO)","Eigenkapitalverzinsung (§ 4 Abs. 1 Ziffer 2 iVm. § 6 Satz 3 GesBerVO)")</f>
        <v>Eigenkapitalverzinsung (§ 4 Abs. 1 Ziffer 2 iVm. § 6 Satz 3 GesBerVO)</v>
      </c>
      <c r="D1" s="601"/>
      <c r="E1" s="791"/>
      <c r="F1" s="601"/>
      <c r="G1" s="602"/>
    </row>
    <row r="2" spans="2:7" ht="28.5" customHeight="1" thickBot="1">
      <c r="B2" s="961" t="s">
        <v>11</v>
      </c>
      <c r="C2" s="965" t="s">
        <v>9</v>
      </c>
      <c r="D2" s="962"/>
      <c r="E2" s="962"/>
      <c r="F2" s="962"/>
      <c r="G2" s="963"/>
    </row>
    <row r="3" ht="14.25" customHeight="1" thickBot="1" thickTop="1"/>
    <row r="4" spans="2:11" s="283" customFormat="1" ht="23.25" customHeight="1" thickBot="1">
      <c r="B4" s="709" t="s">
        <v>12</v>
      </c>
      <c r="G4" s="966">
        <f>'Anlg.3 Berechnung'!F19</f>
        <v>0</v>
      </c>
      <c r="I4" s="245"/>
      <c r="J4" s="981"/>
      <c r="K4" s="245"/>
    </row>
    <row r="5" spans="2:10" s="247" customFormat="1" ht="32.25" customHeight="1" thickBot="1">
      <c r="B5" s="967">
        <f>IF(G4="nein","Sonst gilt 2% Gebäude-AfA.","")</f>
      </c>
      <c r="I5" s="245"/>
      <c r="J5" s="980"/>
    </row>
    <row r="6" spans="2:7" ht="31.5" customHeight="1" thickTop="1">
      <c r="B6" s="968"/>
      <c r="C6" s="969"/>
      <c r="D6" s="970" t="str">
        <f>IF(G4="nein","     Demnach gilt linear eine 3,2-%ige AfA-Quote (Laufzeit rd. 31 Jahre)","     Demnach gilt linear eine 4,9-%ige AfA-Quote (Laufzeit rd. 20,5 Jahre)")</f>
        <v>     Demnach gilt linear eine 4,9-%ige AfA-Quote (Laufzeit rd. 20,5 Jahre)</v>
      </c>
      <c r="E6" s="969"/>
      <c r="F6" s="969"/>
      <c r="G6" s="971"/>
    </row>
    <row r="7" spans="2:10" s="247" customFormat="1" ht="25.5" customHeight="1" thickBot="1">
      <c r="B7" s="972"/>
      <c r="C7" s="973"/>
      <c r="D7" s="974" t="str">
        <f>IF(G4="nein","     [ 85 x 2% = 170% ] + [15 x 10% = 150% ] = 320% : 100 = 3,2% ; § 4 Abs. 1 Ziff. 2 GesBerVO vom 21.04.2008)","     [ 85 x 4% = 340% ] + [15 x 10% = 150% ] = 490% : 100 = 4,9% ; § 4 Abs. 1 Ziff. 2 GesBerVO vom 15.10.2003)")</f>
        <v>     [ 85 x 4% = 340% ] + [15 x 10% = 150% ] = 490% : 100 = 4,9% ; § 4 Abs. 1 Ziff. 2 GesBerVO vom 15.10.2003)</v>
      </c>
      <c r="E7" s="973"/>
      <c r="F7" s="973"/>
      <c r="G7" s="975"/>
      <c r="I7" s="245"/>
      <c r="J7" s="980"/>
    </row>
    <row r="8" ht="16.5" customHeight="1" thickBot="1" thickTop="1">
      <c r="B8" s="931"/>
    </row>
    <row r="9" spans="2:7" ht="16.5" customHeight="1" thickBot="1">
      <c r="B9" s="337"/>
      <c r="C9" s="337"/>
      <c r="D9" s="604"/>
      <c r="E9" s="605" t="s">
        <v>136</v>
      </c>
      <c r="F9" s="1396">
        <f>Antrag!K1</f>
        <v>0</v>
      </c>
      <c r="G9" s="1397"/>
    </row>
    <row r="10" spans="2:7" ht="15">
      <c r="B10" s="344" t="s">
        <v>158</v>
      </c>
      <c r="C10" s="337"/>
      <c r="D10" s="604"/>
      <c r="E10" s="604"/>
      <c r="F10" s="604"/>
      <c r="G10" s="604"/>
    </row>
    <row r="11" spans="2:7" ht="15">
      <c r="B11" s="344" t="s">
        <v>159</v>
      </c>
      <c r="C11" s="337"/>
      <c r="D11" s="604"/>
      <c r="E11" s="604"/>
      <c r="F11" s="604"/>
      <c r="G11" s="604"/>
    </row>
    <row r="12" spans="2:7" ht="23.25" customHeight="1">
      <c r="B12" s="1401">
        <f>Antrag!B5</f>
        <v>0</v>
      </c>
      <c r="C12" s="1402"/>
      <c r="D12" s="1402"/>
      <c r="E12" s="1402"/>
      <c r="F12" s="1402"/>
      <c r="G12" s="1402"/>
    </row>
    <row r="13" spans="2:7" ht="20.25" customHeight="1" thickBot="1">
      <c r="B13" s="603"/>
      <c r="C13" s="604"/>
      <c r="D13" s="604"/>
      <c r="E13" s="604"/>
      <c r="F13" s="606"/>
      <c r="G13" s="607"/>
    </row>
    <row r="14" spans="2:7" ht="18" thickBot="1" thickTop="1">
      <c r="B14" s="603"/>
      <c r="C14" s="628" t="s">
        <v>13</v>
      </c>
      <c r="D14" s="640"/>
      <c r="E14" s="604"/>
      <c r="F14" s="628" t="s">
        <v>14</v>
      </c>
      <c r="G14" s="640"/>
    </row>
    <row r="15" spans="2:7" ht="16.5" thickBot="1" thickTop="1">
      <c r="B15" s="603"/>
      <c r="C15" s="608"/>
      <c r="D15" s="604"/>
      <c r="E15" s="604"/>
      <c r="F15" s="609"/>
      <c r="G15" s="248"/>
    </row>
    <row r="16" spans="2:7" ht="18" thickBot="1" thickTop="1">
      <c r="B16" s="610"/>
      <c r="C16" s="611"/>
      <c r="D16" s="612"/>
      <c r="E16" s="612"/>
      <c r="F16" s="613" t="s">
        <v>369</v>
      </c>
      <c r="G16" s="868"/>
    </row>
    <row r="17" spans="2:7" ht="60.75" customHeight="1" thickBot="1" thickTop="1">
      <c r="B17" s="1398"/>
      <c r="C17" s="1399"/>
      <c r="D17" s="1399"/>
      <c r="E17" s="1399"/>
      <c r="F17" s="1399"/>
      <c r="G17" s="1400"/>
    </row>
    <row r="18" spans="1:8" ht="21.75" thickBot="1" thickTop="1">
      <c r="A18" s="249"/>
      <c r="B18" s="250" t="s">
        <v>160</v>
      </c>
      <c r="C18" s="251" t="s">
        <v>93</v>
      </c>
      <c r="D18" s="252" t="s">
        <v>95</v>
      </c>
      <c r="E18" s="253" t="s">
        <v>96</v>
      </c>
      <c r="F18" s="254" t="s">
        <v>97</v>
      </c>
      <c r="G18" s="255">
        <f>F21/100</f>
        <v>0.049</v>
      </c>
      <c r="H18" s="249"/>
    </row>
    <row r="19" spans="1:8" ht="19.5" customHeight="1" thickTop="1">
      <c r="A19" s="249"/>
      <c r="B19" s="256" t="s">
        <v>161</v>
      </c>
      <c r="C19" s="257" t="s">
        <v>162</v>
      </c>
      <c r="D19" s="258" t="s">
        <v>99</v>
      </c>
      <c r="E19" s="259" t="s">
        <v>100</v>
      </c>
      <c r="F19" s="260" t="s">
        <v>99</v>
      </c>
      <c r="G19" s="261" t="s">
        <v>163</v>
      </c>
      <c r="H19" s="249"/>
    </row>
    <row r="20" spans="1:8" ht="19.5" customHeight="1" thickBot="1">
      <c r="A20" s="249"/>
      <c r="B20" s="262" t="s">
        <v>164</v>
      </c>
      <c r="C20" s="263" t="s">
        <v>165</v>
      </c>
      <c r="D20" s="264" t="s">
        <v>103</v>
      </c>
      <c r="E20" s="265" t="s">
        <v>104</v>
      </c>
      <c r="F20" s="266" t="s">
        <v>103</v>
      </c>
      <c r="G20" s="267" t="s">
        <v>104</v>
      </c>
      <c r="H20" s="249"/>
    </row>
    <row r="21" spans="2:7" ht="27.75">
      <c r="B21" s="268">
        <f>D14</f>
        <v>0</v>
      </c>
      <c r="C21" s="269">
        <f>G16</f>
        <v>0</v>
      </c>
      <c r="D21" s="270">
        <v>4</v>
      </c>
      <c r="E21" s="271">
        <f>C21*D21/100/12*(13-B21)</f>
        <v>0</v>
      </c>
      <c r="F21" s="272">
        <f>IF(G4="nein",3.2,4.9)</f>
        <v>4.9</v>
      </c>
      <c r="G21" s="273">
        <f>C21*F21/100/12*(13-B21)</f>
        <v>0</v>
      </c>
    </row>
    <row r="22" spans="2:7" ht="18.75" customHeight="1" thickBot="1">
      <c r="B22" s="274">
        <f>G14</f>
        <v>0</v>
      </c>
      <c r="C22" s="275"/>
      <c r="D22" s="276"/>
      <c r="E22" s="277">
        <f>C21*D21%</f>
        <v>0</v>
      </c>
      <c r="F22" s="276"/>
      <c r="G22" s="278"/>
    </row>
    <row r="23" spans="2:7" ht="18.75" customHeight="1" thickTop="1">
      <c r="B23" s="279">
        <f aca="true" t="shared" si="0" ref="B23:B43">B22+1</f>
        <v>1</v>
      </c>
      <c r="C23" s="280">
        <f>C21-G21</f>
        <v>0</v>
      </c>
      <c r="D23" s="281">
        <f>D21</f>
        <v>4</v>
      </c>
      <c r="E23" s="280">
        <f>C23*D23/100</f>
        <v>0</v>
      </c>
      <c r="F23" s="281">
        <f>F21</f>
        <v>4.9</v>
      </c>
      <c r="G23" s="282">
        <f>IF(C23&gt;$C$21*0.032,$C$21*$F$21/100,IF(C23&gt;0,C23,0))</f>
        <v>0</v>
      </c>
    </row>
    <row r="24" spans="2:7" ht="18.75" customHeight="1">
      <c r="B24" s="279">
        <f t="shared" si="0"/>
        <v>2</v>
      </c>
      <c r="C24" s="280">
        <f aca="true" t="shared" si="1" ref="C24:C42">MAX(C23-G23,0)</f>
        <v>0</v>
      </c>
      <c r="D24" s="281">
        <f aca="true" t="shared" si="2" ref="D24:D43">D23</f>
        <v>4</v>
      </c>
      <c r="E24" s="280">
        <f>C24*$D$21/100</f>
        <v>0</v>
      </c>
      <c r="F24" s="281">
        <f aca="true" t="shared" si="3" ref="F24:F43">F23</f>
        <v>4.9</v>
      </c>
      <c r="G24" s="282">
        <f aca="true" t="shared" si="4" ref="G24:G43">IF(C24&gt;$C$21*0.032,$C$21*$F$21/100,IF(C24&gt;0,C24,0))</f>
        <v>0</v>
      </c>
    </row>
    <row r="25" spans="2:7" ht="18.75" customHeight="1">
      <c r="B25" s="279">
        <f t="shared" si="0"/>
        <v>3</v>
      </c>
      <c r="C25" s="280">
        <f t="shared" si="1"/>
        <v>0</v>
      </c>
      <c r="D25" s="281">
        <f t="shared" si="2"/>
        <v>4</v>
      </c>
      <c r="E25" s="280">
        <f aca="true" t="shared" si="5" ref="E25:E43">C25*$D$21/100</f>
        <v>0</v>
      </c>
      <c r="F25" s="281">
        <f t="shared" si="3"/>
        <v>4.9</v>
      </c>
      <c r="G25" s="282">
        <f t="shared" si="4"/>
        <v>0</v>
      </c>
    </row>
    <row r="26" spans="2:7" ht="18.75" customHeight="1">
      <c r="B26" s="279">
        <f t="shared" si="0"/>
        <v>4</v>
      </c>
      <c r="C26" s="280">
        <f t="shared" si="1"/>
        <v>0</v>
      </c>
      <c r="D26" s="281">
        <f t="shared" si="2"/>
        <v>4</v>
      </c>
      <c r="E26" s="280">
        <f t="shared" si="5"/>
        <v>0</v>
      </c>
      <c r="F26" s="281">
        <f t="shared" si="3"/>
        <v>4.9</v>
      </c>
      <c r="G26" s="282">
        <f t="shared" si="4"/>
        <v>0</v>
      </c>
    </row>
    <row r="27" spans="2:7" ht="18.75" customHeight="1">
      <c r="B27" s="279">
        <f t="shared" si="0"/>
        <v>5</v>
      </c>
      <c r="C27" s="280">
        <f t="shared" si="1"/>
        <v>0</v>
      </c>
      <c r="D27" s="281">
        <f t="shared" si="2"/>
        <v>4</v>
      </c>
      <c r="E27" s="280">
        <f t="shared" si="5"/>
        <v>0</v>
      </c>
      <c r="F27" s="281">
        <f t="shared" si="3"/>
        <v>4.9</v>
      </c>
      <c r="G27" s="282">
        <f t="shared" si="4"/>
        <v>0</v>
      </c>
    </row>
    <row r="28" spans="2:7" ht="18.75" customHeight="1">
      <c r="B28" s="279">
        <f t="shared" si="0"/>
        <v>6</v>
      </c>
      <c r="C28" s="280">
        <f t="shared" si="1"/>
        <v>0</v>
      </c>
      <c r="D28" s="281">
        <f t="shared" si="2"/>
        <v>4</v>
      </c>
      <c r="E28" s="280">
        <f t="shared" si="5"/>
        <v>0</v>
      </c>
      <c r="F28" s="281">
        <f t="shared" si="3"/>
        <v>4.9</v>
      </c>
      <c r="G28" s="282">
        <f t="shared" si="4"/>
        <v>0</v>
      </c>
    </row>
    <row r="29" spans="2:7" ht="18.75" customHeight="1">
      <c r="B29" s="279">
        <f t="shared" si="0"/>
        <v>7</v>
      </c>
      <c r="C29" s="280">
        <f t="shared" si="1"/>
        <v>0</v>
      </c>
      <c r="D29" s="281">
        <f t="shared" si="2"/>
        <v>4</v>
      </c>
      <c r="E29" s="280">
        <f t="shared" si="5"/>
        <v>0</v>
      </c>
      <c r="F29" s="281">
        <f t="shared" si="3"/>
        <v>4.9</v>
      </c>
      <c r="G29" s="282">
        <f t="shared" si="4"/>
        <v>0</v>
      </c>
    </row>
    <row r="30" spans="2:7" ht="18.75" customHeight="1">
      <c r="B30" s="279">
        <f t="shared" si="0"/>
        <v>8</v>
      </c>
      <c r="C30" s="280">
        <f t="shared" si="1"/>
        <v>0</v>
      </c>
      <c r="D30" s="281">
        <f t="shared" si="2"/>
        <v>4</v>
      </c>
      <c r="E30" s="280">
        <f t="shared" si="5"/>
        <v>0</v>
      </c>
      <c r="F30" s="281">
        <f t="shared" si="3"/>
        <v>4.9</v>
      </c>
      <c r="G30" s="282">
        <f t="shared" si="4"/>
        <v>0</v>
      </c>
    </row>
    <row r="31" spans="2:7" ht="18.75" customHeight="1">
      <c r="B31" s="279">
        <f t="shared" si="0"/>
        <v>9</v>
      </c>
      <c r="C31" s="280">
        <f t="shared" si="1"/>
        <v>0</v>
      </c>
      <c r="D31" s="281">
        <f t="shared" si="2"/>
        <v>4</v>
      </c>
      <c r="E31" s="280">
        <f t="shared" si="5"/>
        <v>0</v>
      </c>
      <c r="F31" s="281">
        <f t="shared" si="3"/>
        <v>4.9</v>
      </c>
      <c r="G31" s="282">
        <f t="shared" si="4"/>
        <v>0</v>
      </c>
    </row>
    <row r="32" spans="2:7" ht="18.75" customHeight="1">
      <c r="B32" s="279">
        <f t="shared" si="0"/>
        <v>10</v>
      </c>
      <c r="C32" s="280">
        <f t="shared" si="1"/>
        <v>0</v>
      </c>
      <c r="D32" s="281">
        <f t="shared" si="2"/>
        <v>4</v>
      </c>
      <c r="E32" s="280">
        <f t="shared" si="5"/>
        <v>0</v>
      </c>
      <c r="F32" s="281">
        <f t="shared" si="3"/>
        <v>4.9</v>
      </c>
      <c r="G32" s="282">
        <f t="shared" si="4"/>
        <v>0</v>
      </c>
    </row>
    <row r="33" spans="2:7" ht="18.75" customHeight="1">
      <c r="B33" s="279">
        <f t="shared" si="0"/>
        <v>11</v>
      </c>
      <c r="C33" s="280">
        <f t="shared" si="1"/>
        <v>0</v>
      </c>
      <c r="D33" s="281">
        <f t="shared" si="2"/>
        <v>4</v>
      </c>
      <c r="E33" s="280">
        <f t="shared" si="5"/>
        <v>0</v>
      </c>
      <c r="F33" s="281">
        <f t="shared" si="3"/>
        <v>4.9</v>
      </c>
      <c r="G33" s="282">
        <f t="shared" si="4"/>
        <v>0</v>
      </c>
    </row>
    <row r="34" spans="2:7" ht="18.75" customHeight="1">
      <c r="B34" s="279">
        <f t="shared" si="0"/>
        <v>12</v>
      </c>
      <c r="C34" s="280">
        <f t="shared" si="1"/>
        <v>0</v>
      </c>
      <c r="D34" s="281">
        <f t="shared" si="2"/>
        <v>4</v>
      </c>
      <c r="E34" s="280">
        <f t="shared" si="5"/>
        <v>0</v>
      </c>
      <c r="F34" s="281">
        <f t="shared" si="3"/>
        <v>4.9</v>
      </c>
      <c r="G34" s="282">
        <f t="shared" si="4"/>
        <v>0</v>
      </c>
    </row>
    <row r="35" spans="2:7" ht="18.75" customHeight="1">
      <c r="B35" s="279">
        <f t="shared" si="0"/>
        <v>13</v>
      </c>
      <c r="C35" s="280">
        <f t="shared" si="1"/>
        <v>0</v>
      </c>
      <c r="D35" s="281">
        <f t="shared" si="2"/>
        <v>4</v>
      </c>
      <c r="E35" s="280">
        <f t="shared" si="5"/>
        <v>0</v>
      </c>
      <c r="F35" s="281">
        <f t="shared" si="3"/>
        <v>4.9</v>
      </c>
      <c r="G35" s="282">
        <f t="shared" si="4"/>
        <v>0</v>
      </c>
    </row>
    <row r="36" spans="2:7" ht="18.75" customHeight="1">
      <c r="B36" s="279">
        <f t="shared" si="0"/>
        <v>14</v>
      </c>
      <c r="C36" s="280">
        <f t="shared" si="1"/>
        <v>0</v>
      </c>
      <c r="D36" s="281">
        <f t="shared" si="2"/>
        <v>4</v>
      </c>
      <c r="E36" s="280">
        <f t="shared" si="5"/>
        <v>0</v>
      </c>
      <c r="F36" s="281">
        <f t="shared" si="3"/>
        <v>4.9</v>
      </c>
      <c r="G36" s="282">
        <f t="shared" si="4"/>
        <v>0</v>
      </c>
    </row>
    <row r="37" spans="2:7" ht="18.75" customHeight="1">
      <c r="B37" s="279">
        <f t="shared" si="0"/>
        <v>15</v>
      </c>
      <c r="C37" s="280">
        <f t="shared" si="1"/>
        <v>0</v>
      </c>
      <c r="D37" s="281">
        <f t="shared" si="2"/>
        <v>4</v>
      </c>
      <c r="E37" s="280">
        <f t="shared" si="5"/>
        <v>0</v>
      </c>
      <c r="F37" s="281">
        <f t="shared" si="3"/>
        <v>4.9</v>
      </c>
      <c r="G37" s="282">
        <f t="shared" si="4"/>
        <v>0</v>
      </c>
    </row>
    <row r="38" spans="2:7" ht="18.75" customHeight="1">
      <c r="B38" s="279">
        <f t="shared" si="0"/>
        <v>16</v>
      </c>
      <c r="C38" s="280">
        <f t="shared" si="1"/>
        <v>0</v>
      </c>
      <c r="D38" s="281">
        <f t="shared" si="2"/>
        <v>4</v>
      </c>
      <c r="E38" s="280">
        <f t="shared" si="5"/>
        <v>0</v>
      </c>
      <c r="F38" s="281">
        <f t="shared" si="3"/>
        <v>4.9</v>
      </c>
      <c r="G38" s="282">
        <f t="shared" si="4"/>
        <v>0</v>
      </c>
    </row>
    <row r="39" spans="2:7" ht="18.75" customHeight="1">
      <c r="B39" s="279">
        <f t="shared" si="0"/>
        <v>17</v>
      </c>
      <c r="C39" s="280">
        <f t="shared" si="1"/>
        <v>0</v>
      </c>
      <c r="D39" s="281">
        <f t="shared" si="2"/>
        <v>4</v>
      </c>
      <c r="E39" s="280">
        <f t="shared" si="5"/>
        <v>0</v>
      </c>
      <c r="F39" s="281">
        <f t="shared" si="3"/>
        <v>4.9</v>
      </c>
      <c r="G39" s="282">
        <f t="shared" si="4"/>
        <v>0</v>
      </c>
    </row>
    <row r="40" spans="2:7" ht="18.75" customHeight="1">
      <c r="B40" s="279">
        <f t="shared" si="0"/>
        <v>18</v>
      </c>
      <c r="C40" s="280">
        <f t="shared" si="1"/>
        <v>0</v>
      </c>
      <c r="D40" s="281">
        <f t="shared" si="2"/>
        <v>4</v>
      </c>
      <c r="E40" s="280">
        <f t="shared" si="5"/>
        <v>0</v>
      </c>
      <c r="F40" s="281">
        <f t="shared" si="3"/>
        <v>4.9</v>
      </c>
      <c r="G40" s="282">
        <f t="shared" si="4"/>
        <v>0</v>
      </c>
    </row>
    <row r="41" spans="2:7" ht="18.75" customHeight="1">
      <c r="B41" s="279">
        <f t="shared" si="0"/>
        <v>19</v>
      </c>
      <c r="C41" s="280">
        <f t="shared" si="1"/>
        <v>0</v>
      </c>
      <c r="D41" s="281">
        <f t="shared" si="2"/>
        <v>4</v>
      </c>
      <c r="E41" s="280">
        <f t="shared" si="5"/>
        <v>0</v>
      </c>
      <c r="F41" s="281">
        <f t="shared" si="3"/>
        <v>4.9</v>
      </c>
      <c r="G41" s="282">
        <f t="shared" si="4"/>
        <v>0</v>
      </c>
    </row>
    <row r="42" spans="2:7" ht="18.75" customHeight="1">
      <c r="B42" s="279">
        <f t="shared" si="0"/>
        <v>20</v>
      </c>
      <c r="C42" s="280">
        <f t="shared" si="1"/>
        <v>0</v>
      </c>
      <c r="D42" s="281">
        <f t="shared" si="2"/>
        <v>4</v>
      </c>
      <c r="E42" s="280">
        <f t="shared" si="5"/>
        <v>0</v>
      </c>
      <c r="F42" s="281">
        <f t="shared" si="3"/>
        <v>4.9</v>
      </c>
      <c r="G42" s="282">
        <f t="shared" si="4"/>
        <v>0</v>
      </c>
    </row>
    <row r="43" spans="2:7" ht="18.75" customHeight="1">
      <c r="B43" s="279">
        <f t="shared" si="0"/>
        <v>21</v>
      </c>
      <c r="C43" s="280">
        <f>MAX(C42-G42,0)</f>
        <v>0</v>
      </c>
      <c r="D43" s="281">
        <f t="shared" si="2"/>
        <v>4</v>
      </c>
      <c r="E43" s="280">
        <f t="shared" si="5"/>
        <v>0</v>
      </c>
      <c r="F43" s="281">
        <f t="shared" si="3"/>
        <v>4.9</v>
      </c>
      <c r="G43" s="282">
        <f t="shared" si="4"/>
        <v>0</v>
      </c>
    </row>
    <row r="44" spans="2:7" ht="18.75" customHeight="1">
      <c r="B44" s="279">
        <f aca="true" t="shared" si="6" ref="B44:B54">B43+1</f>
        <v>22</v>
      </c>
      <c r="C44" s="280">
        <f aca="true" t="shared" si="7" ref="C44:C54">MAX(C43-G43,0)</f>
        <v>0</v>
      </c>
      <c r="D44" s="281">
        <f aca="true" t="shared" si="8" ref="D44:D54">D43</f>
        <v>4</v>
      </c>
      <c r="E44" s="280">
        <f aca="true" t="shared" si="9" ref="E44:E54">C44*$D$21/100</f>
        <v>0</v>
      </c>
      <c r="F44" s="281">
        <f aca="true" t="shared" si="10" ref="F44:F54">F43</f>
        <v>4.9</v>
      </c>
      <c r="G44" s="282">
        <f aca="true" t="shared" si="11" ref="G44:G54">IF(C44&gt;$C$21*0.032,$C$21*$F$21/100,IF(C44&gt;0,C44,0))</f>
        <v>0</v>
      </c>
    </row>
    <row r="45" spans="1:9" ht="18.75" customHeight="1">
      <c r="A45" s="248"/>
      <c r="B45" s="279">
        <f t="shared" si="6"/>
        <v>23</v>
      </c>
      <c r="C45" s="280">
        <f t="shared" si="7"/>
        <v>0</v>
      </c>
      <c r="D45" s="281">
        <f t="shared" si="8"/>
        <v>4</v>
      </c>
      <c r="E45" s="280">
        <f t="shared" si="9"/>
        <v>0</v>
      </c>
      <c r="F45" s="281">
        <f t="shared" si="10"/>
        <v>4.9</v>
      </c>
      <c r="G45" s="282">
        <f t="shared" si="11"/>
        <v>0</v>
      </c>
      <c r="H45" s="248"/>
      <c r="I45" s="248"/>
    </row>
    <row r="46" spans="2:7" ht="18.75" customHeight="1">
      <c r="B46" s="279">
        <f t="shared" si="6"/>
        <v>24</v>
      </c>
      <c r="C46" s="280">
        <f t="shared" si="7"/>
        <v>0</v>
      </c>
      <c r="D46" s="281">
        <f t="shared" si="8"/>
        <v>4</v>
      </c>
      <c r="E46" s="280">
        <f t="shared" si="9"/>
        <v>0</v>
      </c>
      <c r="F46" s="281">
        <f t="shared" si="10"/>
        <v>4.9</v>
      </c>
      <c r="G46" s="282">
        <f t="shared" si="11"/>
        <v>0</v>
      </c>
    </row>
    <row r="47" spans="2:7" ht="18.75" customHeight="1">
      <c r="B47" s="279">
        <f t="shared" si="6"/>
        <v>25</v>
      </c>
      <c r="C47" s="280">
        <f t="shared" si="7"/>
        <v>0</v>
      </c>
      <c r="D47" s="281">
        <f t="shared" si="8"/>
        <v>4</v>
      </c>
      <c r="E47" s="280">
        <f t="shared" si="9"/>
        <v>0</v>
      </c>
      <c r="F47" s="281">
        <f t="shared" si="10"/>
        <v>4.9</v>
      </c>
      <c r="G47" s="282">
        <f t="shared" si="11"/>
        <v>0</v>
      </c>
    </row>
    <row r="48" spans="2:7" ht="18.75" customHeight="1">
      <c r="B48" s="279">
        <f t="shared" si="6"/>
        <v>26</v>
      </c>
      <c r="C48" s="280">
        <f t="shared" si="7"/>
        <v>0</v>
      </c>
      <c r="D48" s="281">
        <f t="shared" si="8"/>
        <v>4</v>
      </c>
      <c r="E48" s="280">
        <f t="shared" si="9"/>
        <v>0</v>
      </c>
      <c r="F48" s="281">
        <f t="shared" si="10"/>
        <v>4.9</v>
      </c>
      <c r="G48" s="282">
        <f t="shared" si="11"/>
        <v>0</v>
      </c>
    </row>
    <row r="49" spans="2:7" ht="18.75" customHeight="1">
      <c r="B49" s="279">
        <f t="shared" si="6"/>
        <v>27</v>
      </c>
      <c r="C49" s="280">
        <f t="shared" si="7"/>
        <v>0</v>
      </c>
      <c r="D49" s="281">
        <f t="shared" si="8"/>
        <v>4</v>
      </c>
      <c r="E49" s="280">
        <f t="shared" si="9"/>
        <v>0</v>
      </c>
      <c r="F49" s="281">
        <f t="shared" si="10"/>
        <v>4.9</v>
      </c>
      <c r="G49" s="282">
        <f t="shared" si="11"/>
        <v>0</v>
      </c>
    </row>
    <row r="50" spans="2:7" ht="18.75" customHeight="1">
      <c r="B50" s="279">
        <f t="shared" si="6"/>
        <v>28</v>
      </c>
      <c r="C50" s="280">
        <f t="shared" si="7"/>
        <v>0</v>
      </c>
      <c r="D50" s="281">
        <f t="shared" si="8"/>
        <v>4</v>
      </c>
      <c r="E50" s="280">
        <f t="shared" si="9"/>
        <v>0</v>
      </c>
      <c r="F50" s="281">
        <f t="shared" si="10"/>
        <v>4.9</v>
      </c>
      <c r="G50" s="282">
        <f t="shared" si="11"/>
        <v>0</v>
      </c>
    </row>
    <row r="51" spans="2:7" ht="18.75" customHeight="1">
      <c r="B51" s="279">
        <f t="shared" si="6"/>
        <v>29</v>
      </c>
      <c r="C51" s="280">
        <f t="shared" si="7"/>
        <v>0</v>
      </c>
      <c r="D51" s="281">
        <f t="shared" si="8"/>
        <v>4</v>
      </c>
      <c r="E51" s="280">
        <f t="shared" si="9"/>
        <v>0</v>
      </c>
      <c r="F51" s="281">
        <f t="shared" si="10"/>
        <v>4.9</v>
      </c>
      <c r="G51" s="282">
        <f t="shared" si="11"/>
        <v>0</v>
      </c>
    </row>
    <row r="52" spans="2:7" ht="18.75" customHeight="1">
      <c r="B52" s="279">
        <f t="shared" si="6"/>
        <v>30</v>
      </c>
      <c r="C52" s="280">
        <f t="shared" si="7"/>
        <v>0</v>
      </c>
      <c r="D52" s="281">
        <f t="shared" si="8"/>
        <v>4</v>
      </c>
      <c r="E52" s="280">
        <f t="shared" si="9"/>
        <v>0</v>
      </c>
      <c r="F52" s="281">
        <f t="shared" si="10"/>
        <v>4.9</v>
      </c>
      <c r="G52" s="282">
        <f t="shared" si="11"/>
        <v>0</v>
      </c>
    </row>
    <row r="53" spans="2:7" ht="18.75" customHeight="1">
      <c r="B53" s="279">
        <f t="shared" si="6"/>
        <v>31</v>
      </c>
      <c r="C53" s="280">
        <f t="shared" si="7"/>
        <v>0</v>
      </c>
      <c r="D53" s="281">
        <f t="shared" si="8"/>
        <v>4</v>
      </c>
      <c r="E53" s="280">
        <f t="shared" si="9"/>
        <v>0</v>
      </c>
      <c r="F53" s="281">
        <f t="shared" si="10"/>
        <v>4.9</v>
      </c>
      <c r="G53" s="282">
        <f t="shared" si="11"/>
        <v>0</v>
      </c>
    </row>
    <row r="54" spans="2:7" ht="18.75" customHeight="1">
      <c r="B54" s="279">
        <f t="shared" si="6"/>
        <v>32</v>
      </c>
      <c r="C54" s="280">
        <f t="shared" si="7"/>
        <v>0</v>
      </c>
      <c r="D54" s="281">
        <f t="shared" si="8"/>
        <v>4</v>
      </c>
      <c r="E54" s="280">
        <f t="shared" si="9"/>
        <v>0</v>
      </c>
      <c r="F54" s="281">
        <f t="shared" si="10"/>
        <v>4.9</v>
      </c>
      <c r="G54" s="282">
        <f t="shared" si="11"/>
        <v>0</v>
      </c>
    </row>
    <row r="55" spans="2:7" ht="15.75" thickBot="1">
      <c r="B55" s="976"/>
      <c r="C55" s="977"/>
      <c r="D55" s="978"/>
      <c r="E55" s="977"/>
      <c r="F55" s="978"/>
      <c r="G55" s="979"/>
    </row>
  </sheetData>
  <sheetProtection password="DB77" sheet="1" objects="1" scenarios="1"/>
  <mergeCells count="3">
    <mergeCell ref="F9:G9"/>
    <mergeCell ref="B17:G17"/>
    <mergeCell ref="B12:G12"/>
  </mergeCells>
  <dataValidations count="1">
    <dataValidation type="whole" allowBlank="1" showInputMessage="1" showErrorMessage="1" sqref="D14">
      <formula1>1</formula1>
      <formula2>12</formula2>
    </dataValidation>
  </dataValidations>
  <printOptions/>
  <pageMargins left="0.66" right="0.48" top="0.5" bottom="0.44" header="0.4921259845" footer="0.23"/>
  <pageSetup fitToHeight="1" fitToWidth="1" horizontalDpi="600" verticalDpi="600" orientation="portrait" paperSize="9" scale="70" r:id="rId1"/>
  <headerFooter alignWithMargins="0">
    <oddFooter>&amp;L&amp;F&amp;C&amp;A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LWL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P035K007</dc:creator>
  <cp:keywords/>
  <dc:description/>
  <cp:lastModifiedBy>LWL</cp:lastModifiedBy>
  <cp:lastPrinted>2010-10-14T07:44:05Z</cp:lastPrinted>
  <dcterms:created xsi:type="dcterms:W3CDTF">2003-12-15T07:10:16Z</dcterms:created>
  <dcterms:modified xsi:type="dcterms:W3CDTF">2014-02-18T09:18:59Z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