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720" windowHeight="11985" activeTab="0"/>
  </bookViews>
  <sheets>
    <sheet name="Antrag" sheetId="1" r:id="rId1"/>
    <sheet name="Berechnung" sheetId="2" r:id="rId2"/>
  </sheets>
  <definedNames>
    <definedName name="_xlnm.Print_Area" localSheetId="0">'Antrag'!$A$1:$K$61</definedName>
    <definedName name="_xlnm.Print_Area" localSheetId="1">'Berechnung'!$A$1:$H$73</definedName>
  </definedNames>
  <calcPr fullCalcOnLoad="1"/>
</workbook>
</file>

<file path=xl/sharedStrings.xml><?xml version="1.0" encoding="utf-8"?>
<sst xmlns="http://schemas.openxmlformats.org/spreadsheetml/2006/main" count="175" uniqueCount="115">
  <si>
    <t>1)</t>
  </si>
  <si>
    <t>Name und Anschrift der Einrichtung</t>
  </si>
  <si>
    <t>Plätze</t>
  </si>
  <si>
    <t>a)</t>
  </si>
  <si>
    <t>b)</t>
  </si>
  <si>
    <t>Erträge</t>
  </si>
  <si>
    <t>Für die Richtigkeit der Angaben:</t>
  </si>
  <si>
    <t xml:space="preserve">Unterschrift  </t>
  </si>
  <si>
    <t>der Einrichtung</t>
  </si>
  <si>
    <t>c)</t>
  </si>
  <si>
    <t xml:space="preserve">hier: </t>
  </si>
  <si>
    <t>Einrichtung, PLZ, Ort, Straße</t>
  </si>
  <si>
    <t>Anschrift des Trägers</t>
  </si>
  <si>
    <t>Träger, PLZ, Ort, Straße</t>
  </si>
  <si>
    <t xml:space="preserve"> Baukosten</t>
  </si>
  <si>
    <t>(davon eingestreute Kurzzeitpflege )</t>
  </si>
  <si>
    <t>Anzahl Einbettzimmer</t>
  </si>
  <si>
    <t>d)</t>
  </si>
  <si>
    <t>Euro</t>
  </si>
  <si>
    <t>e)</t>
  </si>
  <si>
    <t>Pflegeeinrichtung:</t>
  </si>
  <si>
    <t>Platzzahl lt. Versorgungsvertrag</t>
  </si>
  <si>
    <t>Mietwertermittlung für Gebäude</t>
  </si>
  <si>
    <t xml:space="preserve">nachgewiesene Bruttogrundfläche (BGF)  </t>
  </si>
  <si>
    <t>Ist-qm</t>
  </si>
  <si>
    <t>aktuelle Platzzahl je Gebäude</t>
  </si>
  <si>
    <t>anerkannte BGF-Fläche lt. aktueller Platzzahl</t>
  </si>
  <si>
    <t>Index</t>
  </si>
  <si>
    <t>%</t>
  </si>
  <si>
    <t>2)</t>
  </si>
  <si>
    <t>Mietwert Gebäude 1</t>
  </si>
  <si>
    <t>Mietwert Gebäude 2</t>
  </si>
  <si>
    <t>abzügl. Sonstige Erträge</t>
  </si>
  <si>
    <t>sonstige Verrechnungen</t>
  </si>
  <si>
    <t>abzügl. Erlöse Einbettzimmer</t>
  </si>
  <si>
    <t>Nettogesamtkosten</t>
  </si>
  <si>
    <t>Divisor 95 %</t>
  </si>
  <si>
    <t xml:space="preserve"> x 365 x 95 % =</t>
  </si>
  <si>
    <t xml:space="preserve">   gesondert berechnungsfähig:</t>
  </si>
  <si>
    <t>täglich</t>
  </si>
  <si>
    <t xml:space="preserve"> </t>
  </si>
  <si>
    <t>Feld frei ggfls. für Erläuterungen:</t>
  </si>
  <si>
    <r>
      <t>Euro</t>
    </r>
    <r>
      <rPr>
        <b/>
        <sz val="11"/>
        <rFont val="Arial MT"/>
        <family val="0"/>
      </rPr>
      <t>/qm</t>
    </r>
  </si>
  <si>
    <t xml:space="preserve"> Euro</t>
  </si>
  <si>
    <t>Bruttogesamtkosten</t>
  </si>
  <si>
    <t>qm x 12 Monate )</t>
  </si>
  <si>
    <t>qm</t>
  </si>
  <si>
    <t>(anerkennungsfähige qm = max. aktuelle Platzzahl x max. 40 qm BGF/Platz // bzw. Ist-qm)</t>
  </si>
  <si>
    <t>Mietbasis lt. Fortschreibung</t>
  </si>
  <si>
    <t>3)</t>
  </si>
  <si>
    <r>
      <t>Platzzahl lt. Versorgungsvertrag</t>
    </r>
  </si>
  <si>
    <t>Mietkosten Gebäude lt. tatsächlichem Mietvertrag</t>
  </si>
  <si>
    <t>(ggfls. bitte die entsprechenden Gebäudemietverträge beifügen)</t>
  </si>
  <si>
    <t xml:space="preserve"> = </t>
  </si>
  <si>
    <r>
      <t>Gebäude 1</t>
    </r>
    <r>
      <rPr>
        <b/>
        <sz val="14"/>
        <rFont val="Arial MT"/>
        <family val="0"/>
      </rPr>
      <t xml:space="preserve">                                            </t>
    </r>
    <r>
      <rPr>
        <b/>
        <u val="single"/>
        <sz val="14"/>
        <rFont val="Arial MT"/>
        <family val="0"/>
      </rPr>
      <t>Gebäude 2</t>
    </r>
  </si>
  <si>
    <t>Ort, Datum</t>
  </si>
  <si>
    <t>( soweit sie dem Investitionskostenbereich zuzurechnen sind: )</t>
  </si>
  <si>
    <t>Einrichtung:</t>
  </si>
  <si>
    <t>f)</t>
  </si>
  <si>
    <t>4)</t>
  </si>
  <si>
    <t>§ 17 PfG NW v. 08.07.2003 iVm. GesBerVO vom 04.06.1996</t>
  </si>
  <si>
    <t>Euro / Jahr</t>
  </si>
  <si>
    <t>Mietwertregelung vor Fortschreibung (qm lt. Regelung ab 01.07.1996 bzw. ab 01.01.2003)</t>
  </si>
  <si>
    <t>Euro/qm</t>
  </si>
  <si>
    <t>Berechnung § 13 Abs. 2 PfG NW:</t>
  </si>
  <si>
    <t>[(Euro/qm lt. Fortschreibung x anerk. qm x 12 Monate) bzw. max. lt. Vertrag]</t>
  </si>
  <si>
    <r>
      <t xml:space="preserve">Pauschalbetrag kurzfristiger Anlagebereich je Platz </t>
    </r>
    <r>
      <rPr>
        <sz val="12"/>
        <color indexed="8"/>
        <rFont val="Arial MT"/>
        <family val="0"/>
      </rPr>
      <t>(Stand lt. 2-jähriger Fortschreibung = s.o.)</t>
    </r>
  </si>
  <si>
    <r>
      <t xml:space="preserve">( Mietwertregelung VOR Fortschreibung ( </t>
    </r>
    <r>
      <rPr>
        <u val="single"/>
        <sz val="12"/>
        <rFont val="Arial MT"/>
        <family val="0"/>
      </rPr>
      <t>qm lt. Regelung ab 01.07.1996 bzw. ab 01.01.2003</t>
    </r>
    <r>
      <rPr>
        <sz val="12"/>
        <rFont val="Arial MT"/>
        <family val="0"/>
      </rPr>
      <t xml:space="preserve"> )</t>
    </r>
  </si>
  <si>
    <t>Euro  je qm</t>
  </si>
  <si>
    <t>Heime mit Mietregelung und Inventarpauschale</t>
  </si>
  <si>
    <t xml:space="preserve">bis zum:  </t>
  </si>
  <si>
    <t xml:space="preserve">hier:  Antrag auf Neuregelung ab dem:  </t>
  </si>
  <si>
    <r>
      <t xml:space="preserve">Bescheinigung des örtlichen Trägers der Sozialhilfe nach § 9 Abs. 2 PfG NW </t>
    </r>
    <r>
      <rPr>
        <b/>
        <sz val="14"/>
        <rFont val="Arial"/>
        <family val="2"/>
      </rPr>
      <t>liegt nicht vor:</t>
    </r>
  </si>
  <si>
    <t xml:space="preserve">Regelung  </t>
  </si>
  <si>
    <r>
      <t>Miet-Indexanstieg</t>
    </r>
    <r>
      <rPr>
        <sz val="14"/>
        <rFont val="Arial MT"/>
        <family val="0"/>
      </rPr>
      <t xml:space="preserve"> nach Fortschreibungseffekt in % =  </t>
    </r>
  </si>
  <si>
    <t>hier:  Heime mit Mietregelung und Inventarpauschale</t>
  </si>
  <si>
    <r>
      <t>Gebäude 1</t>
    </r>
    <r>
      <rPr>
        <b/>
        <sz val="16"/>
        <rFont val="Arial MT"/>
        <family val="0"/>
      </rPr>
      <t xml:space="preserve">                                   </t>
    </r>
    <r>
      <rPr>
        <b/>
        <u val="single"/>
        <sz val="16"/>
        <rFont val="Arial MT"/>
        <family val="0"/>
      </rPr>
      <t>Gebäude 2</t>
    </r>
    <r>
      <rPr>
        <b/>
        <sz val="16"/>
        <rFont val="Arial MT"/>
        <family val="0"/>
      </rPr>
      <t xml:space="preserve">  </t>
    </r>
  </si>
  <si>
    <t>Mit seinem Antrag auf Zustimmung zur gesonderten Berechnung nach § 13 PfG NW vom 08.07.2003 hat der Heimträger die Grundsätze      des PfG NW anerkannt. Dabei sind die gesondert berechnungsfähigen betriebsnotwendigen Investitionsaufwendungen für alle Pflegebedürftigen nach einheitlichen Grundsätzen zu bemessen; eine Differenzierung nach Kostenträgern (öffentliche Kostenträger, Selbstzahler) ist unzulässig (§ 13 Abs. 1 letzter Satz PfG NW).</t>
  </si>
  <si>
    <t>Mit seinem Antrag auf Zustimmung zur gesonderten Berechnung nach § 13 PfG NW vom 08.07.2003 erkennt der Heimträger die Grundsätze des PfG NW an. Dabei sind die gesondert berechnungsfähigen betriebsnotwendigen Investitionsaufwendungen für alle Pflegebedürftigen nach einheitlichen Grundsätzen zu bemessen; eine Differenzierung nach Kostenträgern (öffentliche Kostenträger, Selbstzahler) ist unzulässig (§ 13 Abs. 1 letzter Satz PfG NW).</t>
  </si>
  <si>
    <t xml:space="preserve">Az. Behörde § 13 (2) PfG NW:   </t>
  </si>
  <si>
    <t xml:space="preserve">Az. Behörde § 13 (2) PfG NW: </t>
  </si>
  <si>
    <t>ab</t>
  </si>
  <si>
    <t>bis</t>
  </si>
  <si>
    <t>Mai-Index des Vorjahres:</t>
  </si>
  <si>
    <t>Bauindex</t>
  </si>
  <si>
    <t>Verbraucherpreisind.</t>
  </si>
  <si>
    <r>
      <t xml:space="preserve"> Verbraucherpr.  </t>
    </r>
    <r>
      <rPr>
        <sz val="16"/>
        <rFont val="Arial MT"/>
        <family val="0"/>
      </rPr>
      <t>=</t>
    </r>
  </si>
  <si>
    <t>Bescheinigung des örtlichen Trägers 
der Sozialhilfe nach § 9 Abs. 2 PfG NW</t>
  </si>
  <si>
    <t>=&gt;  liegt nicht vor:</t>
  </si>
  <si>
    <t>=&gt;  liegt / lag als Anlage vor:</t>
  </si>
  <si>
    <r>
      <t>Basisdaten</t>
    </r>
    <r>
      <rPr>
        <b/>
        <sz val="16"/>
        <color indexed="8"/>
        <rFont val="Arial MT"/>
        <family val="0"/>
      </rPr>
      <t xml:space="preserve"> für die Fortschreibung der Mietwertregelung</t>
    </r>
  </si>
  <si>
    <t>entfällt</t>
  </si>
  <si>
    <r>
      <t>Fortschreibungsbasis ist die anerkannte Mietwertregelung lt. Bescheid 2003</t>
    </r>
  </si>
  <si>
    <r>
      <t xml:space="preserve">2003 = Verbraucherpreisindex Mai 2002 </t>
    </r>
    <r>
      <rPr>
        <sz val="14"/>
        <rFont val="Arial MT"/>
        <family val="0"/>
      </rPr>
      <t>(= 103,4 P.)</t>
    </r>
  </si>
  <si>
    <t>Mai 2004  =</t>
  </si>
  <si>
    <t>Mai 2006  =</t>
  </si>
  <si>
    <t>Mai 2008  =</t>
  </si>
  <si>
    <t>Mai 2010  =</t>
  </si>
  <si>
    <t>Mai 2012  =</t>
  </si>
  <si>
    <t>Mai 2014  =</t>
  </si>
  <si>
    <t>Mai 2016  =</t>
  </si>
  <si>
    <t>wegen Bezug auf Lebenshaltungsindex
= vor 01.01.2005 anderer Berechnungsmodus</t>
  </si>
  <si>
    <r>
      <t>Bescheinigung des örtlichen Trägers der Sozialhilfe nach § 9 Abs. 2 PfG NW liegt / lag vor</t>
    </r>
    <r>
      <rPr>
        <b/>
        <sz val="14"/>
        <rFont val="Arial"/>
        <family val="2"/>
      </rPr>
      <t>:</t>
    </r>
  </si>
  <si>
    <r>
      <t>Fortschreibungsbasis ist die anerkannte Mietwertregelung</t>
    </r>
  </si>
  <si>
    <r>
      <t xml:space="preserve">lt. Bescheid 2003 </t>
    </r>
    <r>
      <rPr>
        <sz val="14"/>
        <rFont val="Arial MT"/>
        <family val="0"/>
      </rPr>
      <t>(2003 = Verbraucherpreisindex Mai 2002)</t>
    </r>
  </si>
  <si>
    <r>
      <t>Differenzbetrag zum Mehrbettzimmer, täglich</t>
    </r>
    <r>
      <rPr>
        <sz val="11"/>
        <rFont val="Arial"/>
        <family val="2"/>
      </rPr>
      <t xml:space="preserve"> </t>
    </r>
  </si>
  <si>
    <t>(ohne Differenz Einbett- zu Mehrbettzimmer, vgl. Ziffer 1.c )</t>
  </si>
  <si>
    <t>(Euro x fortgeschriebener Index  :  Index Mai 2002)</t>
  </si>
  <si>
    <t>(Bei Platzzahländerung bitte Versorgungsvertrag beifügen.)</t>
  </si>
  <si>
    <t>( Abfrage zu d) und e) nachrichtlich für statistische Zwecke: )</t>
  </si>
  <si>
    <t xml:space="preserve">Lt. Statistischem Landesamt neuer Verbraucherpreisindex </t>
  </si>
  <si>
    <t>Bestandsschutz für den alten Bauindex</t>
  </si>
  <si>
    <t>Lt. Statistischem Landesamt neuer Bauindex (14.10.2008 Ng.)</t>
  </si>
  <si>
    <t>Lt. Statistischem Landesamt neue Indices (13.08.2010 Ng.)</t>
  </si>
  <si>
    <t>Lt. Statistischem Landesamt neue Indices (05.07.2012 Ma.)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</si>
</sst>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"/>
    <numFmt numFmtId="174" formatCode="#,##0.00_);\(#,##0.00\)"/>
    <numFmt numFmtId="175" formatCode="#,##0_);\(#,##0\)"/>
    <numFmt numFmtId="176" formatCode="###\ &quot;DM&quot;\ \)"/>
    <numFmt numFmtId="177" formatCode="#,##0.0"/>
    <numFmt numFmtId="178" formatCode="#,##0.000"/>
    <numFmt numFmtId="179" formatCode="#,##0.00&quot; Euro&quot;"/>
    <numFmt numFmtId="180" formatCode="#,##0.0_);\(#,##0.0\)"/>
    <numFmt numFmtId="181" formatCode="#,##0.000&quot; Euro&quot;"/>
    <numFmt numFmtId="182" formatCode="#,##0.0000&quot; Euro&quot;"/>
    <numFmt numFmtId="183" formatCode="#,##0.0&quot; Euro&quot;"/>
    <numFmt numFmtId="184" formatCode="#,##0&quot; Euro&quot;"/>
    <numFmt numFmtId="185" formatCode="#,##0.00\ &quot;DM&quot;"/>
    <numFmt numFmtId="186" formatCode="#,##0.00\ &quot;Euro&quot;"/>
    <numFmt numFmtId="187" formatCode="#,##0.000\ &quot;Euro&quot;"/>
    <numFmt numFmtId="188" formatCode="#,##0.0\ &quot;Euro&quot;"/>
    <numFmt numFmtId="189" formatCode="#,##0\ &quot;Euro&quot;"/>
    <numFmt numFmtId="190" formatCode="#,##0.00&quot; Euro/Tag&quot;"/>
    <numFmt numFmtId="191" formatCode="0.00\ &quot;Euro&quot;"/>
    <numFmt numFmtId="192" formatCode="0.00\ &quot;Euro/Tag&quot;"/>
    <numFmt numFmtId="193" formatCode="#,##0.00\ &quot;Euro x&quot;"/>
    <numFmt numFmtId="194" formatCode="#,##0.00\ &quot;Euro   x&quot;"/>
    <numFmt numFmtId="195" formatCode="#,##0.00_ ;\-#,##0.00\ "/>
    <numFmt numFmtId="196" formatCode="#,##0.00\ &quot;Euro/qm   x&quot;"/>
    <numFmt numFmtId="197" formatCode="&quot;( &quot;#,##0.00\ &quot;Euro/qm   x&quot;"/>
    <numFmt numFmtId="198" formatCode="&quot;( &quot;#,##0\ &quot;Euro&quot;"/>
    <numFmt numFmtId="199" formatCode="&quot;( &quot;#,##0\ &quot;Euro   x&quot;"/>
    <numFmt numFmtId="200" formatCode="#,##0\ &quot;Plätze&quot;"/>
    <numFmt numFmtId="201" formatCode="#,##0\ &quot;Plätze )&quot;"/>
    <numFmt numFmtId="202" formatCode="#,###.##"/>
    <numFmt numFmtId="203" formatCode="#,###\ &quot;Euro&quot;"/>
    <numFmt numFmtId="204" formatCode="#,###.##&quot; Euro&quot;"/>
    <numFmt numFmtId="205" formatCode="#,###&quot; Euro&quot;"/>
    <numFmt numFmtId="206" formatCode="#,###.##\ &quot;DM&quot;"/>
    <numFmt numFmtId="207" formatCode="#,###.##\ &quot;Euro&quot;"/>
    <numFmt numFmtId="208" formatCode="#,##0\ &quot;Tage&quot;"/>
    <numFmt numFmtId="209" formatCode="0.0\ &quot;Euro&quot;"/>
    <numFmt numFmtId="210" formatCode="0.000\ &quot;Euro&quot;"/>
    <numFmt numFmtId="211" formatCode="#,###.00&quot; Euro&quot;"/>
    <numFmt numFmtId="212" formatCode="#,###.00\ &quot;Euro&quot;"/>
    <numFmt numFmtId="213" formatCode="&quot;ab &quot;dd/mm/yyyy"/>
    <numFmt numFmtId="214" formatCode="&quot;bis &quot;dd/mm/yyyy"/>
    <numFmt numFmtId="215" formatCode="[Red]&quot;Indexdummy = bisheriger max. Index &quot;#,###.#\ ;[Red]\-0\ ;[White]\+0"/>
    <numFmt numFmtId="216" formatCode="dd/mm/yy"/>
    <numFmt numFmtId="217" formatCode="[Black]#,###.00\ &quot;Euro&quot;\ ;[Red]\-0\ ;[White]\+0"/>
    <numFmt numFmtId="218" formatCode="[Black]#,###\ &quot;Euro&quot;\ ;[Red]\-0\ ;[White]\+0"/>
  </numFmts>
  <fonts count="11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double"/>
      <sz val="16"/>
      <name val="Arial"/>
      <family val="0"/>
    </font>
    <font>
      <sz val="11"/>
      <name val="Arial MT"/>
      <family val="2"/>
    </font>
    <font>
      <b/>
      <u val="single"/>
      <sz val="16"/>
      <name val="Arial MT"/>
      <family val="0"/>
    </font>
    <font>
      <u val="single"/>
      <sz val="11"/>
      <name val="Arial MT"/>
      <family val="2"/>
    </font>
    <font>
      <b/>
      <u val="single"/>
      <sz val="18"/>
      <name val="Arial MT"/>
      <family val="2"/>
    </font>
    <font>
      <u val="single"/>
      <sz val="18"/>
      <name val="Arial"/>
      <family val="0"/>
    </font>
    <font>
      <sz val="10"/>
      <name val="Arial MT"/>
      <family val="0"/>
    </font>
    <font>
      <b/>
      <u val="double"/>
      <sz val="14"/>
      <name val="Arial MT"/>
      <family val="2"/>
    </font>
    <font>
      <b/>
      <sz val="14"/>
      <name val="Arial MT"/>
      <family val="0"/>
    </font>
    <font>
      <sz val="11"/>
      <color indexed="8"/>
      <name val="Arial MT"/>
      <family val="2"/>
    </font>
    <font>
      <b/>
      <u val="single"/>
      <sz val="14"/>
      <color indexed="8"/>
      <name val="Arial MT"/>
      <family val="0"/>
    </font>
    <font>
      <b/>
      <sz val="14"/>
      <color indexed="8"/>
      <name val="Arial MT"/>
      <family val="0"/>
    </font>
    <font>
      <sz val="11"/>
      <color indexed="12"/>
      <name val="Arial MT"/>
      <family val="2"/>
    </font>
    <font>
      <b/>
      <sz val="11"/>
      <name val="Arial MT"/>
      <family val="2"/>
    </font>
    <font>
      <b/>
      <sz val="11"/>
      <color indexed="12"/>
      <name val="Arial MT"/>
      <family val="2"/>
    </font>
    <font>
      <sz val="10"/>
      <color indexed="12"/>
      <name val="Courier"/>
      <family val="0"/>
    </font>
    <font>
      <b/>
      <i/>
      <sz val="11"/>
      <name val="Arial MT"/>
      <family val="0"/>
    </font>
    <font>
      <b/>
      <sz val="11"/>
      <color indexed="8"/>
      <name val="Arial MT"/>
      <family val="0"/>
    </font>
    <font>
      <b/>
      <i/>
      <u val="double"/>
      <sz val="11"/>
      <name val="Arial MT"/>
      <family val="2"/>
    </font>
    <font>
      <b/>
      <u val="single"/>
      <sz val="14"/>
      <name val="Arial MT"/>
      <family val="0"/>
    </font>
    <font>
      <b/>
      <sz val="16"/>
      <name val="Arial"/>
      <family val="2"/>
    </font>
    <font>
      <b/>
      <sz val="12"/>
      <color indexed="8"/>
      <name val="Arial MT"/>
      <family val="0"/>
    </font>
    <font>
      <sz val="16"/>
      <color indexed="8"/>
      <name val="Arial MT"/>
      <family val="0"/>
    </font>
    <font>
      <b/>
      <u val="single"/>
      <sz val="16"/>
      <color indexed="8"/>
      <name val="Arial MT"/>
      <family val="0"/>
    </font>
    <font>
      <b/>
      <sz val="12"/>
      <color indexed="12"/>
      <name val="Arial"/>
      <family val="2"/>
    </font>
    <font>
      <b/>
      <sz val="10"/>
      <color indexed="12"/>
      <name val="Courier"/>
      <family val="0"/>
    </font>
    <font>
      <b/>
      <sz val="14"/>
      <color indexed="14"/>
      <name val="Arial MT"/>
      <family val="0"/>
    </font>
    <font>
      <b/>
      <sz val="14"/>
      <color indexed="12"/>
      <name val="Arial MT"/>
      <family val="0"/>
    </font>
    <font>
      <b/>
      <sz val="16"/>
      <name val="Arial MT"/>
      <family val="0"/>
    </font>
    <font>
      <b/>
      <i/>
      <sz val="11"/>
      <color indexed="8"/>
      <name val="Arial MT"/>
      <family val="0"/>
    </font>
    <font>
      <sz val="14"/>
      <name val="Arial MT"/>
      <family val="0"/>
    </font>
    <font>
      <sz val="16"/>
      <name val="Arial MT"/>
      <family val="2"/>
    </font>
    <font>
      <sz val="12"/>
      <name val="Arial"/>
      <family val="2"/>
    </font>
    <font>
      <u val="single"/>
      <sz val="12"/>
      <name val="Arial MT"/>
      <family val="0"/>
    </font>
    <font>
      <b/>
      <sz val="14"/>
      <color indexed="12"/>
      <name val="Arial"/>
      <family val="2"/>
    </font>
    <font>
      <b/>
      <sz val="18"/>
      <name val="Arial MT"/>
      <family val="0"/>
    </font>
    <font>
      <b/>
      <i/>
      <u val="double"/>
      <sz val="16"/>
      <name val="Arial MT"/>
      <family val="0"/>
    </font>
    <font>
      <sz val="12"/>
      <color indexed="10"/>
      <name val="Arial MT"/>
      <family val="0"/>
    </font>
    <font>
      <sz val="14"/>
      <color indexed="12"/>
      <name val="Arial MT"/>
      <family val="2"/>
    </font>
    <font>
      <b/>
      <sz val="14"/>
      <color indexed="8"/>
      <name val="Arial"/>
      <family val="2"/>
    </font>
    <font>
      <sz val="14"/>
      <color indexed="8"/>
      <name val="Arial MT"/>
      <family val="2"/>
    </font>
    <font>
      <b/>
      <sz val="14"/>
      <color indexed="48"/>
      <name val="Arial MT"/>
      <family val="0"/>
    </font>
    <font>
      <b/>
      <sz val="16"/>
      <color indexed="8"/>
      <name val="Arial MT"/>
      <family val="0"/>
    </font>
    <font>
      <sz val="12"/>
      <color indexed="8"/>
      <name val="Arial MT"/>
      <family val="0"/>
    </font>
    <font>
      <b/>
      <sz val="18"/>
      <color indexed="8"/>
      <name val="Arial"/>
      <family val="2"/>
    </font>
    <font>
      <b/>
      <u val="double"/>
      <sz val="18"/>
      <color indexed="8"/>
      <name val="Arial"/>
      <family val="2"/>
    </font>
    <font>
      <b/>
      <sz val="16"/>
      <color indexed="8"/>
      <name val="Arial"/>
      <family val="2"/>
    </font>
    <font>
      <b/>
      <u val="double"/>
      <sz val="20"/>
      <color indexed="8"/>
      <name val="Arial"/>
      <family val="2"/>
    </font>
    <font>
      <sz val="16"/>
      <name val="Arial"/>
      <family val="2"/>
    </font>
    <font>
      <b/>
      <u val="single"/>
      <sz val="22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 MT"/>
      <family val="0"/>
    </font>
    <font>
      <b/>
      <u val="single"/>
      <sz val="22"/>
      <color indexed="10"/>
      <name val="Arial"/>
      <family val="2"/>
    </font>
    <font>
      <sz val="12"/>
      <color indexed="9"/>
      <name val="Arial MT"/>
      <family val="0"/>
    </font>
    <font>
      <u val="single"/>
      <sz val="13"/>
      <name val="Arial"/>
      <family val="2"/>
    </font>
    <font>
      <sz val="13"/>
      <name val="Arial MT"/>
      <family val="0"/>
    </font>
    <font>
      <b/>
      <sz val="13"/>
      <name val="Arial"/>
      <family val="2"/>
    </font>
    <font>
      <sz val="12"/>
      <color indexed="12"/>
      <name val="Arial MT"/>
      <family val="0"/>
    </font>
    <font>
      <b/>
      <u val="single"/>
      <sz val="21"/>
      <name val="Arial"/>
      <family val="2"/>
    </font>
    <font>
      <b/>
      <u val="single"/>
      <sz val="21"/>
      <name val="Arial MT"/>
      <family val="0"/>
    </font>
    <font>
      <b/>
      <u val="single"/>
      <sz val="18"/>
      <color indexed="10"/>
      <name val="Arial"/>
      <family val="2"/>
    </font>
    <font>
      <b/>
      <sz val="14"/>
      <color indexed="10"/>
      <name val="Arial MT"/>
      <family val="0"/>
    </font>
    <font>
      <sz val="12"/>
      <color indexed="57"/>
      <name val="Arial MT"/>
      <family val="0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2" fillId="0" borderId="0">
      <alignment/>
      <protection/>
    </xf>
    <xf numFmtId="0" fontId="110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4" fillId="33" borderId="12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33" borderId="13" xfId="0" applyFont="1" applyFill="1" applyBorder="1" applyAlignment="1" applyProtection="1">
      <alignment horizontal="left" vertical="top"/>
      <protection/>
    </xf>
    <xf numFmtId="0" fontId="19" fillId="33" borderId="0" xfId="0" applyFont="1" applyFill="1" applyBorder="1" applyAlignment="1" applyProtection="1">
      <alignment horizontal="center" vertical="top"/>
      <protection/>
    </xf>
    <xf numFmtId="0" fontId="16" fillId="33" borderId="0" xfId="0" applyFont="1" applyFill="1" applyBorder="1" applyAlignment="1" applyProtection="1">
      <alignment horizontal="right" vertical="top"/>
      <protection/>
    </xf>
    <xf numFmtId="14" fontId="16" fillId="33" borderId="0" xfId="0" applyNumberFormat="1" applyFont="1" applyFill="1" applyBorder="1" applyAlignment="1" applyProtection="1">
      <alignment horizontal="right" vertical="top"/>
      <protection/>
    </xf>
    <xf numFmtId="0" fontId="17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1" fillId="33" borderId="14" xfId="0" applyFont="1" applyFill="1" applyBorder="1" applyAlignment="1" applyProtection="1">
      <alignment/>
      <protection/>
    </xf>
    <xf numFmtId="0" fontId="15" fillId="33" borderId="15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 horizontal="right"/>
      <protection/>
    </xf>
    <xf numFmtId="0" fontId="15" fillId="33" borderId="15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5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/>
    </xf>
    <xf numFmtId="4" fontId="27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/>
      <protection/>
    </xf>
    <xf numFmtId="0" fontId="30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" fontId="15" fillId="0" borderId="0" xfId="0" applyNumberFormat="1" applyFont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4" fontId="32" fillId="0" borderId="0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/>
      <protection/>
    </xf>
    <xf numFmtId="4" fontId="32" fillId="0" borderId="0" xfId="0" applyNumberFormat="1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8" fillId="0" borderId="0" xfId="0" applyFont="1" applyAlignment="1">
      <alignment horizontal="right" vertical="top"/>
    </xf>
    <xf numFmtId="0" fontId="35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5" fontId="3" fillId="0" borderId="0" xfId="0" applyNumberFormat="1" applyFont="1" applyAlignment="1" applyProtection="1">
      <alignment/>
      <protection locked="0"/>
    </xf>
    <xf numFmtId="174" fontId="27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7" fillId="0" borderId="15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42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31" xfId="0" applyFont="1" applyBorder="1" applyAlignment="1" applyProtection="1">
      <alignment/>
      <protection/>
    </xf>
    <xf numFmtId="0" fontId="2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 quotePrefix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center"/>
      <protection/>
    </xf>
    <xf numFmtId="174" fontId="25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74" fontId="22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1" fillId="0" borderId="33" xfId="0" applyFont="1" applyBorder="1" applyAlignment="1">
      <alignment/>
    </xf>
    <xf numFmtId="0" fontId="12" fillId="0" borderId="34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35" xfId="0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27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49" fillId="0" borderId="31" xfId="0" applyFont="1" applyBorder="1" applyAlignment="1" applyProtection="1">
      <alignment/>
      <protection/>
    </xf>
    <xf numFmtId="175" fontId="3" fillId="0" borderId="0" xfId="0" applyNumberFormat="1" applyFont="1" applyAlignment="1" applyProtection="1">
      <alignment horizontal="right"/>
      <protection/>
    </xf>
    <xf numFmtId="0" fontId="42" fillId="0" borderId="36" xfId="0" applyFont="1" applyBorder="1" applyAlignment="1" applyProtection="1">
      <alignment/>
      <protection/>
    </xf>
    <xf numFmtId="0" fontId="50" fillId="0" borderId="36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Continuous"/>
      <protection/>
    </xf>
    <xf numFmtId="174" fontId="42" fillId="0" borderId="0" xfId="0" applyNumberFormat="1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4" fontId="4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vertical="top"/>
      <protection/>
    </xf>
    <xf numFmtId="175" fontId="40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189" fontId="25" fillId="33" borderId="37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vertical="top" wrapText="1"/>
    </xf>
    <xf numFmtId="0" fontId="5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174" fontId="22" fillId="0" borderId="0" xfId="0" applyNumberFormat="1" applyFont="1" applyAlignment="1" applyProtection="1">
      <alignment horizontal="center"/>
      <protection locked="0"/>
    </xf>
    <xf numFmtId="175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Alignment="1" applyProtection="1">
      <alignment horizontal="center"/>
      <protection/>
    </xf>
    <xf numFmtId="212" fontId="56" fillId="0" borderId="38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 quotePrefix="1">
      <alignment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97" fontId="23" fillId="0" borderId="0" xfId="0" applyNumberFormat="1" applyFont="1" applyAlignment="1" applyProtection="1" quotePrefix="1">
      <alignment/>
      <protection/>
    </xf>
    <xf numFmtId="195" fontId="23" fillId="0" borderId="0" xfId="41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right"/>
      <protection/>
    </xf>
    <xf numFmtId="176" fontId="31" fillId="0" borderId="0" xfId="0" applyNumberFormat="1" applyFont="1" applyAlignment="1" applyProtection="1">
      <alignment horizontal="left"/>
      <protection/>
    </xf>
    <xf numFmtId="199" fontId="23" fillId="0" borderId="0" xfId="0" applyNumberFormat="1" applyFont="1" applyAlignment="1" applyProtection="1">
      <alignment/>
      <protection/>
    </xf>
    <xf numFmtId="201" fontId="23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22" fillId="34" borderId="39" xfId="0" applyFont="1" applyFill="1" applyBorder="1" applyAlignment="1" applyProtection="1">
      <alignment/>
      <protection locked="0"/>
    </xf>
    <xf numFmtId="0" fontId="27" fillId="34" borderId="40" xfId="0" applyFont="1" applyFill="1" applyBorder="1" applyAlignment="1" applyProtection="1">
      <alignment/>
      <protection locked="0"/>
    </xf>
    <xf numFmtId="0" fontId="27" fillId="34" borderId="40" xfId="0" applyFont="1" applyFill="1" applyBorder="1" applyAlignment="1" applyProtection="1">
      <alignment horizontal="center"/>
      <protection locked="0"/>
    </xf>
    <xf numFmtId="0" fontId="27" fillId="34" borderId="40" xfId="0" applyFont="1" applyFill="1" applyBorder="1" applyAlignment="1" applyProtection="1">
      <alignment/>
      <protection locked="0"/>
    </xf>
    <xf numFmtId="175" fontId="25" fillId="35" borderId="41" xfId="0" applyNumberFormat="1" applyFont="1" applyFill="1" applyBorder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/>
    </xf>
    <xf numFmtId="3" fontId="58" fillId="0" borderId="0" xfId="0" applyNumberFormat="1" applyFont="1" applyBorder="1" applyAlignment="1">
      <alignment/>
    </xf>
    <xf numFmtId="0" fontId="56" fillId="0" borderId="0" xfId="0" applyFont="1" applyAlignment="1" applyProtection="1">
      <alignment/>
      <protection/>
    </xf>
    <xf numFmtId="0" fontId="42" fillId="0" borderId="0" xfId="0" applyFont="1" applyFill="1" applyAlignment="1">
      <alignment/>
    </xf>
    <xf numFmtId="0" fontId="36" fillId="0" borderId="31" xfId="0" applyFont="1" applyBorder="1" applyAlignment="1" applyProtection="1">
      <alignment/>
      <protection/>
    </xf>
    <xf numFmtId="3" fontId="59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0" fontId="23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3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208" fontId="60" fillId="0" borderId="0" xfId="0" applyNumberFormat="1" applyFont="1" applyBorder="1" applyAlignment="1">
      <alignment horizontal="left"/>
    </xf>
    <xf numFmtId="191" fontId="56" fillId="0" borderId="0" xfId="0" applyNumberFormat="1" applyFont="1" applyAlignment="1" applyProtection="1">
      <alignment horizontal="center"/>
      <protection/>
    </xf>
    <xf numFmtId="175" fontId="23" fillId="0" borderId="0" xfId="0" applyNumberFormat="1" applyFont="1" applyAlignment="1" applyProtection="1">
      <alignment/>
      <protection/>
    </xf>
    <xf numFmtId="2" fontId="56" fillId="0" borderId="0" xfId="0" applyNumberFormat="1" applyFont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Continuous"/>
      <protection/>
    </xf>
    <xf numFmtId="0" fontId="42" fillId="0" borderId="19" xfId="0" applyFont="1" applyBorder="1" applyAlignment="1" applyProtection="1">
      <alignment/>
      <protection/>
    </xf>
    <xf numFmtId="174" fontId="42" fillId="0" borderId="19" xfId="0" applyNumberFormat="1" applyFont="1" applyBorder="1" applyAlignment="1" applyProtection="1">
      <alignment/>
      <protection/>
    </xf>
    <xf numFmtId="0" fontId="46" fillId="0" borderId="32" xfId="0" applyFont="1" applyBorder="1" applyAlignment="1">
      <alignment vertical="top" wrapText="1"/>
    </xf>
    <xf numFmtId="0" fontId="61" fillId="0" borderId="0" xfId="0" applyFont="1" applyAlignment="1">
      <alignment/>
    </xf>
    <xf numFmtId="173" fontId="25" fillId="33" borderId="42" xfId="0" applyNumberFormat="1" applyFont="1" applyFill="1" applyBorder="1" applyAlignment="1" applyProtection="1">
      <alignment horizontal="center"/>
      <protection/>
    </xf>
    <xf numFmtId="173" fontId="25" fillId="33" borderId="43" xfId="0" applyNumberFormat="1" applyFont="1" applyFill="1" applyBorder="1" applyAlignment="1" applyProtection="1">
      <alignment horizontal="center"/>
      <protection/>
    </xf>
    <xf numFmtId="0" fontId="7" fillId="35" borderId="44" xfId="0" applyFont="1" applyFill="1" applyBorder="1" applyAlignment="1" applyProtection="1">
      <alignment horizontal="center"/>
      <protection locked="0"/>
    </xf>
    <xf numFmtId="0" fontId="22" fillId="36" borderId="41" xfId="0" applyFont="1" applyFill="1" applyBorder="1" applyAlignment="1" applyProtection="1">
      <alignment horizontal="center"/>
      <protection locked="0"/>
    </xf>
    <xf numFmtId="2" fontId="7" fillId="35" borderId="44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205" fontId="53" fillId="35" borderId="44" xfId="0" applyNumberFormat="1" applyFont="1" applyFill="1" applyBorder="1" applyAlignment="1" applyProtection="1">
      <alignment horizontal="center" vertical="center"/>
      <protection locked="0"/>
    </xf>
    <xf numFmtId="3" fontId="7" fillId="35" borderId="44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25" fillId="0" borderId="0" xfId="0" applyFont="1" applyAlignment="1">
      <alignment horizontal="right"/>
    </xf>
    <xf numFmtId="0" fontId="25" fillId="0" borderId="0" xfId="0" applyFont="1" applyAlignment="1" applyProtection="1">
      <alignment horizontal="left"/>
      <protection/>
    </xf>
    <xf numFmtId="0" fontId="57" fillId="0" borderId="0" xfId="0" applyFont="1" applyAlignment="1">
      <alignment/>
    </xf>
    <xf numFmtId="4" fontId="53" fillId="35" borderId="44" xfId="0" applyNumberFormat="1" applyFont="1" applyFill="1" applyBorder="1" applyAlignment="1" applyProtection="1">
      <alignment horizontal="center"/>
      <protection locked="0"/>
    </xf>
    <xf numFmtId="4" fontId="25" fillId="36" borderId="41" xfId="0" applyNumberFormat="1" applyFont="1" applyFill="1" applyBorder="1" applyAlignment="1" applyProtection="1">
      <alignment horizontal="center"/>
      <protection locked="0"/>
    </xf>
    <xf numFmtId="1" fontId="25" fillId="36" borderId="45" xfId="0" applyNumberFormat="1" applyFont="1" applyFill="1" applyBorder="1" applyAlignment="1" applyProtection="1">
      <alignment horizontal="center"/>
      <protection locked="0"/>
    </xf>
    <xf numFmtId="4" fontId="44" fillId="36" borderId="46" xfId="0" applyNumberFormat="1" applyFont="1" applyFill="1" applyBorder="1" applyAlignment="1" applyProtection="1">
      <alignment horizontal="center"/>
      <protection locked="0"/>
    </xf>
    <xf numFmtId="4" fontId="5" fillId="35" borderId="47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2" fillId="0" borderId="0" xfId="0" applyFont="1" applyAlignment="1" applyProtection="1">
      <alignment vertical="top"/>
      <protection/>
    </xf>
    <xf numFmtId="0" fontId="44" fillId="0" borderId="0" xfId="0" applyFont="1" applyAlignment="1" applyProtection="1">
      <alignment vertical="top"/>
      <protection/>
    </xf>
    <xf numFmtId="0" fontId="0" fillId="0" borderId="0" xfId="0" applyAlignment="1">
      <alignment vertical="top"/>
    </xf>
    <xf numFmtId="2" fontId="53" fillId="35" borderId="44" xfId="0" applyNumberFormat="1" applyFont="1" applyFill="1" applyBorder="1" applyAlignment="1" applyProtection="1">
      <alignment horizontal="center"/>
      <protection locked="0"/>
    </xf>
    <xf numFmtId="211" fontId="25" fillId="36" borderId="4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7" fillId="0" borderId="0" xfId="0" applyFont="1" applyAlignment="1" quotePrefix="1">
      <alignment/>
    </xf>
    <xf numFmtId="0" fontId="44" fillId="0" borderId="0" xfId="0" applyFont="1" applyAlignment="1" applyProtection="1">
      <alignment horizontal="left" vertical="top"/>
      <protection/>
    </xf>
    <xf numFmtId="0" fontId="25" fillId="36" borderId="44" xfId="0" applyFont="1" applyFill="1" applyBorder="1" applyAlignment="1" applyProtection="1">
      <alignment horizontal="center"/>
      <protection locked="0"/>
    </xf>
    <xf numFmtId="213" fontId="56" fillId="36" borderId="41" xfId="0" applyNumberFormat="1" applyFont="1" applyFill="1" applyBorder="1" applyAlignment="1" applyProtection="1">
      <alignment horizontal="center"/>
      <protection locked="0"/>
    </xf>
    <xf numFmtId="0" fontId="7" fillId="36" borderId="41" xfId="0" applyFont="1" applyFill="1" applyBorder="1" applyAlignment="1" applyProtection="1">
      <alignment horizontal="center"/>
      <protection/>
    </xf>
    <xf numFmtId="3" fontId="6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" fontId="34" fillId="34" borderId="40" xfId="0" applyNumberFormat="1" applyFont="1" applyFill="1" applyBorder="1" applyAlignment="1" applyProtection="1">
      <alignment/>
      <protection locked="0"/>
    </xf>
    <xf numFmtId="0" fontId="56" fillId="34" borderId="48" xfId="0" applyFont="1" applyFill="1" applyBorder="1" applyAlignment="1" applyProtection="1">
      <alignment/>
      <protection/>
    </xf>
    <xf numFmtId="3" fontId="34" fillId="0" borderId="0" xfId="0" applyNumberFormat="1" applyFont="1" applyBorder="1" applyAlignment="1">
      <alignment/>
    </xf>
    <xf numFmtId="3" fontId="34" fillId="0" borderId="37" xfId="0" applyNumberFormat="1" applyFont="1" applyBorder="1" applyAlignment="1">
      <alignment/>
    </xf>
    <xf numFmtId="0" fontId="56" fillId="0" borderId="15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174" fontId="25" fillId="0" borderId="0" xfId="0" applyNumberFormat="1" applyFont="1" applyAlignment="1" applyProtection="1">
      <alignment horizontal="center"/>
      <protection/>
    </xf>
    <xf numFmtId="3" fontId="60" fillId="0" borderId="15" xfId="0" applyNumberFormat="1" applyFont="1" applyBorder="1" applyAlignment="1">
      <alignment/>
    </xf>
    <xf numFmtId="0" fontId="45" fillId="0" borderId="0" xfId="0" applyFont="1" applyAlignment="1">
      <alignment/>
    </xf>
    <xf numFmtId="192" fontId="25" fillId="0" borderId="0" xfId="0" applyNumberFormat="1" applyFont="1" applyAlignment="1" applyProtection="1">
      <alignment horizontal="center"/>
      <protection/>
    </xf>
    <xf numFmtId="214" fontId="56" fillId="36" borderId="4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55" fillId="0" borderId="0" xfId="0" applyFont="1" applyAlignment="1" quotePrefix="1">
      <alignment horizontal="right" vertical="top"/>
    </xf>
    <xf numFmtId="0" fontId="4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34" fillId="35" borderId="49" xfId="0" applyNumberFormat="1" applyFont="1" applyFill="1" applyBorder="1" applyAlignment="1" applyProtection="1">
      <alignment horizontal="center"/>
      <protection locked="0"/>
    </xf>
    <xf numFmtId="14" fontId="34" fillId="33" borderId="41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Alignment="1">
      <alignment/>
    </xf>
    <xf numFmtId="0" fontId="65" fillId="0" borderId="0" xfId="0" applyFont="1" applyAlignment="1">
      <alignment horizontal="right"/>
    </xf>
    <xf numFmtId="173" fontId="48" fillId="33" borderId="5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7" fillId="33" borderId="41" xfId="0" applyFont="1" applyFill="1" applyBorder="1" applyAlignment="1" applyProtection="1">
      <alignment horizontal="center"/>
      <protection/>
    </xf>
    <xf numFmtId="0" fontId="69" fillId="0" borderId="0" xfId="0" applyFont="1" applyAlignment="1" quotePrefix="1">
      <alignment vertical="top"/>
    </xf>
    <xf numFmtId="0" fontId="22" fillId="0" borderId="0" xfId="0" applyFont="1" applyAlignment="1" quotePrefix="1">
      <alignment horizontal="right"/>
    </xf>
    <xf numFmtId="0" fontId="22" fillId="0" borderId="0" xfId="0" applyFont="1" applyAlignment="1">
      <alignment horizontal="left"/>
    </xf>
    <xf numFmtId="0" fontId="70" fillId="0" borderId="0" xfId="0" applyFont="1" applyAlignment="1" quotePrefix="1">
      <alignment/>
    </xf>
    <xf numFmtId="0" fontId="70" fillId="0" borderId="0" xfId="0" applyFont="1" applyAlignment="1" applyProtection="1" quotePrefix="1">
      <alignment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14" fontId="10" fillId="33" borderId="53" xfId="0" applyNumberFormat="1" applyFont="1" applyFill="1" applyBorder="1" applyAlignment="1" applyProtection="1">
      <alignment horizontal="center"/>
      <protection/>
    </xf>
    <xf numFmtId="14" fontId="10" fillId="33" borderId="54" xfId="0" applyNumberFormat="1" applyFont="1" applyFill="1" applyBorder="1" applyAlignment="1" applyProtection="1">
      <alignment horizontal="center"/>
      <protection/>
    </xf>
    <xf numFmtId="14" fontId="10" fillId="33" borderId="55" xfId="0" applyNumberFormat="1" applyFont="1" applyFill="1" applyBorder="1" applyAlignment="1" applyProtection="1">
      <alignment horizontal="center"/>
      <protection/>
    </xf>
    <xf numFmtId="14" fontId="10" fillId="33" borderId="56" xfId="0" applyNumberFormat="1" applyFont="1" applyFill="1" applyBorder="1" applyAlignment="1" applyProtection="1">
      <alignment horizontal="center"/>
      <protection/>
    </xf>
    <xf numFmtId="14" fontId="10" fillId="33" borderId="57" xfId="0" applyNumberFormat="1" applyFont="1" applyFill="1" applyBorder="1" applyAlignment="1" applyProtection="1">
      <alignment horizontal="center"/>
      <protection/>
    </xf>
    <xf numFmtId="14" fontId="10" fillId="33" borderId="58" xfId="0" applyNumberFormat="1" applyFont="1" applyFill="1" applyBorder="1" applyAlignment="1" applyProtection="1">
      <alignment horizontal="center"/>
      <protection/>
    </xf>
    <xf numFmtId="14" fontId="38" fillId="33" borderId="59" xfId="0" applyNumberFormat="1" applyFont="1" applyFill="1" applyBorder="1" applyAlignment="1" applyProtection="1">
      <alignment horizontal="center"/>
      <protection/>
    </xf>
    <xf numFmtId="14" fontId="38" fillId="33" borderId="55" xfId="0" applyNumberFormat="1" applyFont="1" applyFill="1" applyBorder="1" applyAlignment="1" applyProtection="1">
      <alignment horizontal="center"/>
      <protection/>
    </xf>
    <xf numFmtId="17" fontId="44" fillId="0" borderId="60" xfId="0" applyNumberFormat="1" applyFont="1" applyBorder="1" applyAlignment="1" applyProtection="1" quotePrefix="1">
      <alignment horizontal="center"/>
      <protection/>
    </xf>
    <xf numFmtId="0" fontId="73" fillId="33" borderId="61" xfId="0" applyFont="1" applyFill="1" applyBorder="1" applyAlignment="1" applyProtection="1">
      <alignment horizontal="right"/>
      <protection/>
    </xf>
    <xf numFmtId="0" fontId="74" fillId="33" borderId="62" xfId="0" applyFont="1" applyFill="1" applyBorder="1" applyAlignment="1" applyProtection="1">
      <alignment horizontal="left"/>
      <protection/>
    </xf>
    <xf numFmtId="0" fontId="75" fillId="33" borderId="63" xfId="0" applyFont="1" applyFill="1" applyBorder="1" applyAlignment="1" applyProtection="1">
      <alignment horizontal="center" vertical="top"/>
      <protection/>
    </xf>
    <xf numFmtId="2" fontId="22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quotePrefix="1">
      <alignment/>
    </xf>
    <xf numFmtId="0" fontId="44" fillId="0" borderId="0" xfId="0" applyFont="1" applyAlignment="1" applyProtection="1" quotePrefix="1">
      <alignment/>
      <protection/>
    </xf>
    <xf numFmtId="0" fontId="25" fillId="0" borderId="15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67" fillId="0" borderId="0" xfId="0" applyFont="1" applyFill="1" applyAlignment="1">
      <alignment vertical="top"/>
    </xf>
    <xf numFmtId="0" fontId="75" fillId="0" borderId="0" xfId="0" applyFont="1" applyFill="1" applyAlignment="1">
      <alignment horizontal="right" vertical="top"/>
    </xf>
    <xf numFmtId="216" fontId="11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73" fontId="68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192" fontId="76" fillId="0" borderId="0" xfId="0" applyNumberFormat="1" applyFont="1" applyAlignment="1" applyProtection="1">
      <alignment horizontal="left"/>
      <protection/>
    </xf>
    <xf numFmtId="217" fontId="7" fillId="36" borderId="41" xfId="0" applyNumberFormat="1" applyFont="1" applyFill="1" applyBorder="1" applyAlignment="1" applyProtection="1">
      <alignment horizontal="center"/>
      <protection locked="0"/>
    </xf>
    <xf numFmtId="218" fontId="7" fillId="36" borderId="41" xfId="0" applyNumberFormat="1" applyFont="1" applyFill="1" applyBorder="1" applyAlignment="1" applyProtection="1">
      <alignment horizontal="center"/>
      <protection locked="0"/>
    </xf>
    <xf numFmtId="173" fontId="64" fillId="33" borderId="65" xfId="0" applyNumberFormat="1" applyFont="1" applyFill="1" applyBorder="1" applyAlignment="1" applyProtection="1">
      <alignment horizontal="center" wrapText="1"/>
      <protection/>
    </xf>
    <xf numFmtId="173" fontId="64" fillId="33" borderId="65" xfId="0" applyNumberFormat="1" applyFont="1" applyFill="1" applyBorder="1" applyAlignment="1" applyProtection="1">
      <alignment horizontal="center"/>
      <protection/>
    </xf>
    <xf numFmtId="173" fontId="64" fillId="35" borderId="66" xfId="0" applyNumberFormat="1" applyFont="1" applyFill="1" applyBorder="1" applyAlignment="1" applyProtection="1">
      <alignment horizontal="center"/>
      <protection locked="0"/>
    </xf>
    <xf numFmtId="173" fontId="64" fillId="35" borderId="58" xfId="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/>
    </xf>
    <xf numFmtId="173" fontId="78" fillId="33" borderId="6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0" borderId="67" xfId="0" applyFont="1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66" fillId="33" borderId="70" xfId="0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215" fontId="71" fillId="0" borderId="72" xfId="0" applyNumberFormat="1" applyFont="1" applyFill="1" applyBorder="1" applyAlignment="1" applyProtection="1">
      <alignment horizontal="left" vertical="top"/>
      <protection/>
    </xf>
    <xf numFmtId="0" fontId="70" fillId="0" borderId="0" xfId="0" applyFont="1" applyAlignment="1" applyProtection="1">
      <alignment horizontal="left" vertical="top"/>
      <protection/>
    </xf>
    <xf numFmtId="0" fontId="34" fillId="35" borderId="29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7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62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 locked="0"/>
    </xf>
    <xf numFmtId="0" fontId="45" fillId="0" borderId="35" xfId="0" applyFont="1" applyBorder="1" applyAlignment="1" applyProtection="1">
      <alignment/>
      <protection locked="0"/>
    </xf>
    <xf numFmtId="0" fontId="22" fillId="0" borderId="0" xfId="0" applyFont="1" applyAlignment="1" applyProtection="1">
      <alignment vertical="top" wrapText="1"/>
      <protection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7" fillId="35" borderId="78" xfId="0" applyFont="1" applyFill="1" applyBorder="1" applyAlignment="1" applyProtection="1">
      <alignment horizontal="center"/>
      <protection locked="0"/>
    </xf>
    <xf numFmtId="0" fontId="7" fillId="35" borderId="79" xfId="0" applyFont="1" applyFill="1" applyBorder="1" applyAlignment="1" applyProtection="1">
      <alignment horizontal="center"/>
      <protection locked="0"/>
    </xf>
    <xf numFmtId="215" fontId="71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38" fillId="33" borderId="62" xfId="0" applyFont="1" applyFill="1" applyBorder="1" applyAlignment="1" applyProtection="1">
      <alignment horizontal="center" vertical="center" wrapText="1"/>
      <protection/>
    </xf>
    <xf numFmtId="0" fontId="72" fillId="0" borderId="61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72" fillId="0" borderId="63" xfId="0" applyFont="1" applyBorder="1" applyAlignment="1" applyProtection="1">
      <alignment horizontal="center" vertical="center" wrapText="1"/>
      <protection/>
    </xf>
    <xf numFmtId="0" fontId="72" fillId="0" borderId="59" xfId="0" applyFont="1" applyBorder="1" applyAlignment="1" applyProtection="1">
      <alignment horizontal="center" vertical="center" wrapText="1"/>
      <protection/>
    </xf>
    <xf numFmtId="0" fontId="72" fillId="0" borderId="80" xfId="0" applyFont="1" applyBorder="1" applyAlignment="1" applyProtection="1">
      <alignment horizontal="center" vertical="center" wrapText="1"/>
      <protection/>
    </xf>
    <xf numFmtId="0" fontId="7" fillId="33" borderId="81" xfId="0" applyFont="1" applyFill="1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44" fillId="0" borderId="0" xfId="0" applyFont="1" applyAlignment="1">
      <alignment vertical="center" wrapText="1"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63" xfId="0" applyFont="1" applyBorder="1" applyAlignment="1" applyProtection="1">
      <alignment vertical="center"/>
      <protection/>
    </xf>
    <xf numFmtId="0" fontId="7" fillId="0" borderId="39" xfId="0" applyFont="1" applyBorder="1" applyAlignment="1">
      <alignment vertical="top" wrapText="1"/>
    </xf>
    <xf numFmtId="0" fontId="44" fillId="0" borderId="40" xfId="0" applyFont="1" applyBorder="1" applyAlignment="1">
      <alignment vertical="top" wrapText="1"/>
    </xf>
    <xf numFmtId="0" fontId="44" fillId="0" borderId="48" xfId="0" applyFont="1" applyBorder="1" applyAlignment="1">
      <alignment vertical="top" wrapText="1"/>
    </xf>
    <xf numFmtId="0" fontId="56" fillId="36" borderId="10" xfId="0" applyFont="1" applyFill="1" applyBorder="1" applyAlignment="1" applyProtection="1">
      <alignment horizontal="left"/>
      <protection locked="0"/>
    </xf>
    <xf numFmtId="0" fontId="45" fillId="36" borderId="1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4</xdr:row>
      <xdr:rowOff>266700</xdr:rowOff>
    </xdr:from>
    <xdr:to>
      <xdr:col>10</xdr:col>
      <xdr:colOff>1028700</xdr:colOff>
      <xdr:row>8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572125" y="1695450"/>
          <a:ext cx="4600575" cy="828675"/>
        </a:xfrm>
        <a:prstGeom prst="wedgeRoundRectCallout">
          <a:avLst>
            <a:gd name="adj1" fmla="val -3625"/>
            <a:gd name="adj2" fmla="val -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Die Indexwerte, Stand Mai werden aus der "Anlage Berechnung", Zeilen 81 ff. übernommen.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65" zoomScaleNormal="65" zoomScalePageLayoutView="0" workbookViewId="0" topLeftCell="A1">
      <selection activeCell="H21" sqref="H21"/>
    </sheetView>
  </sheetViews>
  <sheetFormatPr defaultColWidth="9.77734375" defaultRowHeight="15"/>
  <cols>
    <col min="1" max="1" width="3.77734375" style="0" customWidth="1"/>
    <col min="2" max="3" width="9.77734375" style="0" customWidth="1"/>
    <col min="4" max="5" width="4.77734375" style="0" customWidth="1"/>
    <col min="6" max="6" width="5.77734375" style="0" customWidth="1"/>
    <col min="7" max="7" width="17.99609375" style="0" customWidth="1"/>
    <col min="8" max="8" width="15.77734375" style="0" customWidth="1"/>
    <col min="9" max="9" width="19.10546875" style="0" customWidth="1"/>
    <col min="10" max="10" width="15.10546875" style="0" customWidth="1"/>
    <col min="11" max="11" width="12.21484375" style="0" customWidth="1"/>
    <col min="12" max="12" width="1.66796875" style="0" customWidth="1"/>
    <col min="13" max="13" width="1.66796875" style="196" customWidth="1"/>
  </cols>
  <sheetData>
    <row r="1" spans="1:11" ht="27.75" customHeight="1" thickBot="1">
      <c r="A1" s="263" t="str">
        <f>IF(H21="","Antrags-/ Abfragebogen",IF(H21&lt;38353,"Antragsbogen vor 2005 ungeeignet:","Antrags-/ Abfragebogen "&amp;YEAR(J21)-1&amp;"/"&amp;YEAR(J21)&amp;":"))</f>
        <v>Antrags-/ Abfragebogen 2013/2014:</v>
      </c>
      <c r="B1" s="263"/>
      <c r="C1" s="263"/>
      <c r="D1" s="263"/>
      <c r="E1" s="263"/>
      <c r="F1" s="263"/>
      <c r="G1" s="263"/>
      <c r="I1" s="8" t="s">
        <v>79</v>
      </c>
      <c r="J1" s="332"/>
      <c r="K1" s="333"/>
    </row>
    <row r="2" spans="1:7" ht="29.25" customHeight="1">
      <c r="A2" s="292">
        <f>IF(H21="","",IF(H21&lt;38353,"Abweichende Indexsysthematik; damals zunächst Lebenshaltungsindex",""))</f>
      </c>
      <c r="B2" s="263"/>
      <c r="C2" s="263"/>
      <c r="D2" s="263"/>
      <c r="E2" s="263"/>
      <c r="F2" s="263"/>
      <c r="G2" s="263"/>
    </row>
    <row r="3" spans="1:11" ht="27.75" customHeight="1">
      <c r="A3" s="9" t="s">
        <v>10</v>
      </c>
      <c r="C3" s="207" t="s">
        <v>69</v>
      </c>
      <c r="H3" s="3"/>
      <c r="I3" s="7"/>
      <c r="J3" s="7"/>
      <c r="K3" s="7"/>
    </row>
    <row r="4" spans="1:11" ht="27.75" customHeight="1">
      <c r="A4" s="9"/>
      <c r="C4" s="207" t="s">
        <v>60</v>
      </c>
      <c r="H4" s="3"/>
      <c r="I4" s="7"/>
      <c r="J4" s="7"/>
      <c r="K4" s="7"/>
    </row>
    <row r="5" spans="1:11" ht="24.75" customHeight="1" thickBot="1">
      <c r="A5" s="10"/>
      <c r="G5" s="266"/>
      <c r="K5" s="7"/>
    </row>
    <row r="6" spans="1:8" ht="19.5" thickBot="1" thickTop="1">
      <c r="A6" s="11"/>
      <c r="B6" s="312" t="str">
        <f>"Indexstand
Mai "&amp;YEAR(VLOOKUP(H21,Berechnung!E78:H87,1))-1</f>
        <v>Indexstand
Mai 2012</v>
      </c>
      <c r="C6" s="313"/>
      <c r="D6" s="42" t="s">
        <v>14</v>
      </c>
      <c r="E6" s="42"/>
      <c r="F6" s="295" t="s">
        <v>53</v>
      </c>
      <c r="G6" s="265">
        <f>VLOOKUP(H21,Berechnung!E78:H87,3)</f>
        <v>589</v>
      </c>
      <c r="H6" s="296">
        <f>MAX(G6,D7)</f>
        <v>589</v>
      </c>
    </row>
    <row r="7" spans="1:11" ht="20.25" customHeight="1" thickBot="1" thickTop="1">
      <c r="A7" s="12"/>
      <c r="B7" s="314"/>
      <c r="C7" s="315"/>
      <c r="D7" s="318">
        <f>IF(H21&lt;38353,0,IF(G6=0,MAX(Berechnung!G81:G87),0))</f>
        <v>0</v>
      </c>
      <c r="E7" s="319"/>
      <c r="F7" s="319"/>
      <c r="G7" s="319"/>
      <c r="H7" s="319"/>
      <c r="K7" s="12"/>
    </row>
    <row r="8" spans="1:8" ht="21" customHeight="1" thickBot="1" thickTop="1">
      <c r="A8" s="12"/>
      <c r="B8" s="316"/>
      <c r="C8" s="317"/>
      <c r="D8" s="42" t="s">
        <v>86</v>
      </c>
      <c r="E8" s="42"/>
      <c r="F8" s="295"/>
      <c r="G8" s="265">
        <f>VLOOKUP(H21,Berechnung!E78:H87,4)</f>
        <v>120.3</v>
      </c>
      <c r="H8" s="296">
        <f>MAX(G8,D9)</f>
        <v>120.3</v>
      </c>
    </row>
    <row r="9" spans="1:8" ht="22.5" customHeight="1" thickTop="1">
      <c r="A9" s="12"/>
      <c r="B9" s="297"/>
      <c r="C9" s="298"/>
      <c r="D9" s="334">
        <f>IF(H21&lt;38353,0,IF(G8=0,MAX(Berechnung!H81:H87),0))</f>
        <v>0</v>
      </c>
      <c r="E9" s="319"/>
      <c r="F9" s="319"/>
      <c r="G9" s="319"/>
      <c r="H9" s="319"/>
    </row>
    <row r="10" spans="1:11" ht="24" customHeight="1">
      <c r="A10" s="98" t="s">
        <v>0</v>
      </c>
      <c r="B10" s="98" t="s">
        <v>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7" customHeight="1">
      <c r="A11" s="13"/>
      <c r="B11" s="320"/>
      <c r="C11" s="320"/>
      <c r="D11" s="320"/>
      <c r="E11" s="321"/>
      <c r="F11" s="321"/>
      <c r="G11" s="321"/>
      <c r="H11" s="321"/>
      <c r="I11" s="321"/>
      <c r="J11" s="321"/>
      <c r="K11" s="321"/>
    </row>
    <row r="12" spans="1:11" ht="15">
      <c r="A12" s="14"/>
      <c r="B12" s="95" t="s">
        <v>11</v>
      </c>
      <c r="C12" s="14"/>
      <c r="D12" s="14"/>
      <c r="E12" s="14"/>
      <c r="F12" s="14"/>
      <c r="G12" s="12"/>
      <c r="H12" s="15"/>
      <c r="I12" s="14"/>
      <c r="J12" s="14"/>
      <c r="K12" s="14"/>
    </row>
    <row r="13" spans="1:11" ht="24.75" customHeight="1">
      <c r="A13" s="14"/>
      <c r="B13" s="98" t="s">
        <v>12</v>
      </c>
      <c r="C13" s="14"/>
      <c r="D13" s="14"/>
      <c r="E13" s="14"/>
      <c r="F13" s="14"/>
      <c r="G13" s="12"/>
      <c r="H13" s="14"/>
      <c r="I13" s="294"/>
      <c r="J13" s="14"/>
      <c r="K13" s="14"/>
    </row>
    <row r="14" spans="1:11" ht="27" customHeight="1">
      <c r="A14" s="13"/>
      <c r="B14" s="320"/>
      <c r="C14" s="320"/>
      <c r="D14" s="320"/>
      <c r="E14" s="321"/>
      <c r="F14" s="321"/>
      <c r="G14" s="321"/>
      <c r="H14" s="321"/>
      <c r="I14" s="321"/>
      <c r="J14" s="321"/>
      <c r="K14" s="321"/>
    </row>
    <row r="15" spans="1:11" ht="30" customHeight="1">
      <c r="A15" s="16"/>
      <c r="B15" s="96" t="s">
        <v>13</v>
      </c>
      <c r="C15" s="16"/>
      <c r="D15" s="16"/>
      <c r="E15" s="16"/>
      <c r="F15" s="16"/>
      <c r="H15" s="17"/>
      <c r="I15" s="16"/>
      <c r="J15" s="16"/>
      <c r="K15" s="16"/>
    </row>
    <row r="16" spans="1:11" ht="33" customHeight="1">
      <c r="A16" s="322" t="str">
        <f>"Sofern der Bescheid über die Zustimmung zur gesonderten Berechnung nach § 13 Abs. 2 PfG NW für das Jahr "&amp;YEAR(H21)&amp;" nicht an den o.g. Träger gesendet werden soll, wird gebeten, diesen an folgende Adresse  zu senden:"</f>
        <v>Sofern der Bescheid über die Zustimmung zur gesonderten Berechnung nach § 13 Abs. 2 PfG NW für das Jahr 2013 nicht an den o.g. Träger gesendet werden soll, wird gebeten, diesen an folgende Adresse  zu senden: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4"/>
    </row>
    <row r="17" spans="1:11" ht="6.75" customHeight="1">
      <c r="A17" s="122"/>
      <c r="B17" s="120"/>
      <c r="C17" s="120"/>
      <c r="D17" s="120"/>
      <c r="E17" s="120"/>
      <c r="F17" s="120"/>
      <c r="G17" s="7"/>
      <c r="H17" s="121"/>
      <c r="I17" s="120"/>
      <c r="J17" s="120"/>
      <c r="K17" s="123"/>
    </row>
    <row r="18" spans="1:11" ht="21.75" customHeight="1">
      <c r="A18" s="122"/>
      <c r="B18" s="325"/>
      <c r="C18" s="326"/>
      <c r="D18" s="326"/>
      <c r="E18" s="326"/>
      <c r="F18" s="326"/>
      <c r="G18" s="326"/>
      <c r="H18" s="326"/>
      <c r="I18" s="326"/>
      <c r="J18" s="326"/>
      <c r="K18" s="327"/>
    </row>
    <row r="19" spans="1:11" ht="5.25" customHeight="1">
      <c r="A19" s="124"/>
      <c r="B19" s="125"/>
      <c r="C19" s="125"/>
      <c r="D19" s="125"/>
      <c r="E19" s="125"/>
      <c r="F19" s="125"/>
      <c r="G19" s="1"/>
      <c r="H19" s="126"/>
      <c r="I19" s="125"/>
      <c r="J19" s="125"/>
      <c r="K19" s="127"/>
    </row>
    <row r="20" spans="1:11" ht="15.75" thickBot="1">
      <c r="A20" s="16"/>
      <c r="B20" s="96"/>
      <c r="C20" s="16"/>
      <c r="D20" s="16"/>
      <c r="E20" s="16"/>
      <c r="F20" s="16"/>
      <c r="H20" s="17"/>
      <c r="I20" s="16"/>
      <c r="J20" s="16"/>
      <c r="K20" s="16"/>
    </row>
    <row r="21" spans="1:11" ht="21.75" thickBot="1" thickTop="1">
      <c r="A21" s="16"/>
      <c r="B21" s="17"/>
      <c r="C21" s="16"/>
      <c r="D21" s="16"/>
      <c r="E21" s="16"/>
      <c r="F21" s="16"/>
      <c r="G21" s="80" t="s">
        <v>71</v>
      </c>
      <c r="H21" s="261">
        <v>41275</v>
      </c>
      <c r="I21" s="80" t="s">
        <v>70</v>
      </c>
      <c r="J21" s="262">
        <f>VLOOKUP(H21,Berechnung!E77:H87,2)</f>
        <v>42004</v>
      </c>
      <c r="K21" s="16"/>
    </row>
    <row r="22" spans="1:11" ht="27.75" customHeight="1" thickBot="1" thickTop="1">
      <c r="A22" s="16"/>
      <c r="B22" s="17"/>
      <c r="C22" s="16"/>
      <c r="D22" s="16"/>
      <c r="E22" s="16"/>
      <c r="F22" s="16"/>
      <c r="H22" s="17"/>
      <c r="I22" s="264">
        <f>IF(H21&lt;&gt;"","","Die Meldung '#NV' entfällt, sobald das Antragsdatum")</f>
      </c>
      <c r="J22" s="14"/>
      <c r="K22" s="16"/>
    </row>
    <row r="23" spans="1:11" ht="18.75" thickBot="1">
      <c r="A23" s="109" t="s">
        <v>3</v>
      </c>
      <c r="B23" s="110" t="s">
        <v>50</v>
      </c>
      <c r="I23" s="264">
        <f>IF(H21&lt;&gt;"","","'hier: Antrag auf Neuregelung ab dem:'  erfasst wird.")</f>
      </c>
      <c r="J23" s="210"/>
      <c r="K23" s="118" t="s">
        <v>2</v>
      </c>
    </row>
    <row r="24" spans="1:11" ht="21.75" customHeight="1" thickBot="1">
      <c r="A24" s="94"/>
      <c r="B24" s="268" t="s">
        <v>108</v>
      </c>
      <c r="J24" s="254"/>
      <c r="K24" s="118"/>
    </row>
    <row r="25" spans="1:11" ht="18.75" thickBot="1">
      <c r="A25" s="109" t="s">
        <v>4</v>
      </c>
      <c r="B25" s="111" t="s">
        <v>15</v>
      </c>
      <c r="J25" s="210"/>
      <c r="K25" s="118" t="s">
        <v>2</v>
      </c>
    </row>
    <row r="26" spans="1:11" ht="13.5" customHeight="1" thickBot="1">
      <c r="A26" s="94"/>
      <c r="B26" s="16"/>
      <c r="C26" s="16"/>
      <c r="D26" s="16"/>
      <c r="H26" s="16"/>
      <c r="I26" s="16"/>
      <c r="J26" s="119"/>
      <c r="K26" s="118"/>
    </row>
    <row r="27" spans="1:13" s="19" customFormat="1" ht="18.75" thickBot="1">
      <c r="A27" s="109" t="s">
        <v>9</v>
      </c>
      <c r="B27" s="110" t="s">
        <v>16</v>
      </c>
      <c r="F27" s="18"/>
      <c r="G27" s="22"/>
      <c r="J27" s="210"/>
      <c r="K27" s="118" t="s">
        <v>2</v>
      </c>
      <c r="M27" s="196"/>
    </row>
    <row r="28" spans="2:13" s="19" customFormat="1" ht="18.75" thickBot="1">
      <c r="B28" s="110" t="s">
        <v>105</v>
      </c>
      <c r="E28" s="23"/>
      <c r="G28" s="22"/>
      <c r="J28" s="212"/>
      <c r="K28" s="213" t="s">
        <v>18</v>
      </c>
      <c r="M28" s="196"/>
    </row>
    <row r="29" spans="1:13" s="19" customFormat="1" ht="18">
      <c r="A29" s="109"/>
      <c r="B29" s="110"/>
      <c r="E29" s="23"/>
      <c r="G29" s="22"/>
      <c r="J29" s="255"/>
      <c r="K29" s="213"/>
      <c r="M29" s="196"/>
    </row>
    <row r="30" spans="1:11" ht="18.75" thickBot="1">
      <c r="A30" s="109"/>
      <c r="B30" s="235" t="s">
        <v>109</v>
      </c>
      <c r="C30" s="16"/>
      <c r="D30" s="16"/>
      <c r="H30" s="16"/>
      <c r="I30" s="16"/>
      <c r="J30" s="119"/>
      <c r="K30" s="213"/>
    </row>
    <row r="31" spans="1:13" s="19" customFormat="1" ht="21" customHeight="1" thickBot="1">
      <c r="A31" s="109" t="s">
        <v>17</v>
      </c>
      <c r="B31" s="335" t="s">
        <v>87</v>
      </c>
      <c r="C31" s="336"/>
      <c r="D31" s="336"/>
      <c r="E31" s="336"/>
      <c r="F31" s="336"/>
      <c r="G31" s="336"/>
      <c r="H31" s="235" t="s">
        <v>89</v>
      </c>
      <c r="I31" s="41"/>
      <c r="J31" s="216"/>
      <c r="K31" s="213"/>
      <c r="M31" s="196"/>
    </row>
    <row r="32" spans="1:13" s="19" customFormat="1" ht="21" customHeight="1" thickBot="1">
      <c r="A32" s="109" t="s">
        <v>19</v>
      </c>
      <c r="B32" s="336"/>
      <c r="C32" s="336"/>
      <c r="D32" s="336"/>
      <c r="E32" s="336"/>
      <c r="F32" s="336"/>
      <c r="G32" s="336"/>
      <c r="H32" s="235" t="s">
        <v>88</v>
      </c>
      <c r="I32" s="38"/>
      <c r="J32" s="216"/>
      <c r="K32" s="102"/>
      <c r="M32" s="196"/>
    </row>
    <row r="33" spans="1:13" s="19" customFormat="1" ht="16.5" customHeight="1">
      <c r="A33" s="94"/>
      <c r="B33" s="18"/>
      <c r="G33"/>
      <c r="H33" s="214"/>
      <c r="I33" s="215"/>
      <c r="J33" s="37"/>
      <c r="K33" s="102"/>
      <c r="M33" s="196"/>
    </row>
    <row r="34" spans="1:10" ht="20.25">
      <c r="A34" s="97" t="s">
        <v>29</v>
      </c>
      <c r="B34" s="105" t="s">
        <v>22</v>
      </c>
      <c r="J34" s="12"/>
    </row>
    <row r="35" spans="1:10" ht="20.25">
      <c r="A35" s="97"/>
      <c r="B35" s="236" t="s">
        <v>47</v>
      </c>
      <c r="I35" s="128"/>
      <c r="J35" s="12"/>
    </row>
    <row r="36" spans="1:10" ht="20.25">
      <c r="A36" s="97"/>
      <c r="B36" s="105"/>
      <c r="I36" s="128" t="s">
        <v>54</v>
      </c>
      <c r="J36" s="12"/>
    </row>
    <row r="37" spans="1:11" ht="7.5" customHeight="1" thickBot="1">
      <c r="A37" s="94"/>
      <c r="B37" s="16"/>
      <c r="C37" s="16"/>
      <c r="D37" s="16"/>
      <c r="H37" s="16"/>
      <c r="I37" s="16"/>
      <c r="J37" s="20"/>
      <c r="K37" s="21"/>
    </row>
    <row r="38" spans="1:11" ht="18.75" thickBot="1">
      <c r="A38" s="109" t="s">
        <v>3</v>
      </c>
      <c r="B38" s="93" t="s">
        <v>51</v>
      </c>
      <c r="C38" s="38"/>
      <c r="D38" s="41"/>
      <c r="E38" s="38"/>
      <c r="H38" s="217"/>
      <c r="I38" s="161" t="s">
        <v>61</v>
      </c>
      <c r="J38" s="217"/>
      <c r="K38" s="161" t="s">
        <v>61</v>
      </c>
    </row>
    <row r="39" spans="1:10" ht="18">
      <c r="A39" s="94"/>
      <c r="B39" s="272" t="s">
        <v>52</v>
      </c>
      <c r="C39" s="38"/>
      <c r="D39" s="41"/>
      <c r="E39" s="38"/>
      <c r="H39" s="90"/>
      <c r="I39" s="90"/>
      <c r="J39" s="90"/>
    </row>
    <row r="40" spans="1:11" ht="16.5" customHeight="1">
      <c r="A40" s="94"/>
      <c r="B40" s="16"/>
      <c r="C40" s="16"/>
      <c r="D40" s="16"/>
      <c r="H40" s="14"/>
      <c r="I40" s="16"/>
      <c r="J40" s="20"/>
      <c r="K40" s="21"/>
    </row>
    <row r="41" spans="2:11" ht="20.25">
      <c r="B41" s="218" t="s">
        <v>90</v>
      </c>
      <c r="C41" s="48"/>
      <c r="D41" s="48"/>
      <c r="E41" s="48"/>
      <c r="F41" s="88"/>
      <c r="G41" s="12"/>
      <c r="H41" s="37"/>
      <c r="J41" s="12"/>
      <c r="K41" s="269" t="str">
        <f>" (vgl. Anlage zum Bescheid für "&amp;YEAR(J21)-3&amp;")             "</f>
        <v> (vgl. Anlage zum Bescheid für 2011)             </v>
      </c>
    </row>
    <row r="42" spans="1:10" ht="15.75">
      <c r="A42" s="49"/>
      <c r="B42" s="112" t="s">
        <v>67</v>
      </c>
      <c r="C42" s="48"/>
      <c r="D42" s="48"/>
      <c r="E42" s="48"/>
      <c r="F42" s="88"/>
      <c r="G42" s="12"/>
      <c r="H42" s="37"/>
      <c r="J42" s="12"/>
    </row>
    <row r="43" spans="1:10" ht="12" customHeight="1" thickBot="1">
      <c r="A43" s="49"/>
      <c r="B43" s="49"/>
      <c r="C43" s="48"/>
      <c r="D43" s="48"/>
      <c r="E43" s="48"/>
      <c r="F43" s="88"/>
      <c r="G43" s="12"/>
      <c r="H43" s="37"/>
      <c r="J43" s="12"/>
    </row>
    <row r="44" spans="1:13" s="221" customFormat="1" ht="18.75" thickBot="1">
      <c r="A44" s="219" t="s">
        <v>4</v>
      </c>
      <c r="B44" s="220" t="s">
        <v>23</v>
      </c>
      <c r="C44" s="171"/>
      <c r="D44" s="171"/>
      <c r="H44" s="222"/>
      <c r="I44" s="115" t="s">
        <v>24</v>
      </c>
      <c r="J44" s="222"/>
      <c r="K44" s="115" t="s">
        <v>24</v>
      </c>
      <c r="M44" s="196"/>
    </row>
    <row r="45" spans="1:11" ht="18.75" thickBot="1">
      <c r="A45" s="109" t="s">
        <v>9</v>
      </c>
      <c r="B45" s="93" t="s">
        <v>25</v>
      </c>
      <c r="C45" s="48"/>
      <c r="D45" s="48"/>
      <c r="E45" s="48"/>
      <c r="H45" s="217"/>
      <c r="I45" s="116" t="s">
        <v>2</v>
      </c>
      <c r="J45" s="217"/>
      <c r="K45" s="116" t="s">
        <v>2</v>
      </c>
    </row>
    <row r="46" spans="1:11" ht="18">
      <c r="A46" s="49"/>
      <c r="B46" s="49"/>
      <c r="C46" s="48"/>
      <c r="D46" s="48"/>
      <c r="E46" s="48"/>
      <c r="H46" s="256"/>
      <c r="I46" s="117"/>
      <c r="J46" s="256"/>
      <c r="K46" s="117"/>
    </row>
    <row r="47" spans="1:11" ht="18">
      <c r="A47" s="109" t="s">
        <v>17</v>
      </c>
      <c r="B47" s="113" t="str">
        <f>"alternative qm-Verteilung (vgl. Regelung ab 01.01."&amp;YEAR(J21)-3&amp;")"</f>
        <v>alternative qm-Verteilung (vgl. Regelung ab 01.01.2011)</v>
      </c>
      <c r="C47" s="48"/>
      <c r="D47" s="48"/>
      <c r="E47" s="48"/>
      <c r="H47" s="226"/>
      <c r="I47" s="114" t="s">
        <v>46</v>
      </c>
      <c r="J47" s="226"/>
      <c r="K47" s="114" t="s">
        <v>46</v>
      </c>
    </row>
    <row r="48" spans="1:10" ht="15.75">
      <c r="A48" s="49"/>
      <c r="B48" s="53"/>
      <c r="C48" s="48"/>
      <c r="D48" s="48"/>
      <c r="E48" s="48"/>
      <c r="H48" s="89"/>
      <c r="I48" s="54"/>
      <c r="J48" s="12"/>
    </row>
    <row r="49" spans="1:13" s="231" customFormat="1" ht="22.5" customHeight="1" thickBot="1">
      <c r="A49" s="228" t="s">
        <v>19</v>
      </c>
      <c r="B49" s="229" t="s">
        <v>92</v>
      </c>
      <c r="C49" s="230"/>
      <c r="D49" s="230"/>
      <c r="E49" s="230"/>
      <c r="H49" s="257"/>
      <c r="J49" s="257"/>
      <c r="K49" s="258"/>
      <c r="M49" s="196"/>
    </row>
    <row r="50" spans="1:13" s="221" customFormat="1" ht="18.75" thickBot="1">
      <c r="A50" s="227"/>
      <c r="B50" s="328" t="s">
        <v>93</v>
      </c>
      <c r="C50" s="329"/>
      <c r="D50" s="329"/>
      <c r="E50" s="329"/>
      <c r="F50" s="330"/>
      <c r="G50" s="331"/>
      <c r="H50" s="232"/>
      <c r="I50" s="163" t="s">
        <v>68</v>
      </c>
      <c r="J50" s="232"/>
      <c r="K50" s="163" t="s">
        <v>68</v>
      </c>
      <c r="M50" s="196"/>
    </row>
    <row r="51" spans="1:10" ht="9.75" customHeight="1">
      <c r="A51" s="94"/>
      <c r="B51" s="330"/>
      <c r="C51" s="330"/>
      <c r="D51" s="330"/>
      <c r="E51" s="330"/>
      <c r="F51" s="330"/>
      <c r="G51" s="330"/>
      <c r="I51" s="154"/>
      <c r="J51" s="12"/>
    </row>
    <row r="52" spans="2:10" ht="8.25" customHeight="1" thickBot="1">
      <c r="B52" s="153"/>
      <c r="J52" s="12"/>
    </row>
    <row r="53" spans="1:11" ht="21.75" customHeight="1" thickBot="1">
      <c r="A53" s="97" t="s">
        <v>49</v>
      </c>
      <c r="B53" s="97" t="s">
        <v>5</v>
      </c>
      <c r="C53" s="270" t="s">
        <v>106</v>
      </c>
      <c r="D53" s="2"/>
      <c r="J53" s="217"/>
      <c r="K53" s="161" t="s">
        <v>61</v>
      </c>
    </row>
    <row r="54" spans="2:10" ht="16.5" customHeight="1">
      <c r="B54" s="271" t="s">
        <v>56</v>
      </c>
      <c r="H54" s="103"/>
      <c r="I54" s="7"/>
      <c r="J54" s="7"/>
    </row>
    <row r="55" spans="8:10" ht="21.75" customHeight="1">
      <c r="H55" s="7"/>
      <c r="I55" s="7"/>
      <c r="J55" s="7"/>
    </row>
    <row r="56" spans="1:21" ht="65.25" customHeight="1">
      <c r="A56" s="309" t="s">
        <v>78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1"/>
      <c r="L56" s="206"/>
      <c r="N56" s="12"/>
      <c r="O56" s="12"/>
      <c r="P56" s="12"/>
      <c r="Q56" s="12"/>
      <c r="R56" s="12"/>
      <c r="S56" s="12"/>
      <c r="T56" s="12"/>
      <c r="U56" s="12"/>
    </row>
    <row r="57" s="254" customFormat="1" ht="18">
      <c r="M57" s="259"/>
    </row>
    <row r="58" s="254" customFormat="1" ht="18">
      <c r="M58" s="259"/>
    </row>
    <row r="59" s="254" customFormat="1" ht="18">
      <c r="M59" s="259"/>
    </row>
    <row r="60" s="254" customFormat="1" ht="19.5" customHeight="1">
      <c r="M60" s="259"/>
    </row>
    <row r="61" spans="2:10" ht="15.75">
      <c r="B61" s="234" t="s">
        <v>55</v>
      </c>
      <c r="C61" s="4" t="s">
        <v>6</v>
      </c>
      <c r="D61" s="4"/>
      <c r="E61" s="5"/>
      <c r="F61" s="6"/>
      <c r="G61" s="6"/>
      <c r="H61" s="5" t="s">
        <v>7</v>
      </c>
      <c r="I61" s="6" t="s">
        <v>8</v>
      </c>
      <c r="J61" s="6"/>
    </row>
  </sheetData>
  <sheetProtection password="DB77" sheet="1" objects="1" scenarios="1"/>
  <mergeCells count="11">
    <mergeCell ref="J1:K1"/>
    <mergeCell ref="B11:K11"/>
    <mergeCell ref="D9:H9"/>
    <mergeCell ref="B31:G32"/>
    <mergeCell ref="A56:K56"/>
    <mergeCell ref="B6:C8"/>
    <mergeCell ref="D7:H7"/>
    <mergeCell ref="B14:K14"/>
    <mergeCell ref="A16:K16"/>
    <mergeCell ref="B18:K18"/>
    <mergeCell ref="B50:G51"/>
  </mergeCells>
  <dataValidations count="1">
    <dataValidation type="list" allowBlank="1" showInputMessage="1" showErrorMessage="1" sqref="J31:J32">
      <formula1>"x"</formula1>
    </dataValidation>
  </dataValidations>
  <printOptions/>
  <pageMargins left="0.787401575" right="0.28" top="0.5" bottom="0.46" header="0.4921259845" footer="0.17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60" zoomScaleNormal="60" zoomScalePageLayoutView="0" workbookViewId="0" topLeftCell="A41">
      <selection activeCell="H85" sqref="H85"/>
    </sheetView>
  </sheetViews>
  <sheetFormatPr defaultColWidth="11.5546875" defaultRowHeight="15"/>
  <cols>
    <col min="1" max="1" width="4.77734375" style="38" customWidth="1"/>
    <col min="2" max="2" width="21.6640625" style="38" customWidth="1"/>
    <col min="3" max="3" width="14.77734375" style="38" customWidth="1"/>
    <col min="4" max="4" width="13.4453125" style="38" customWidth="1"/>
    <col min="5" max="5" width="22.4453125" style="38" customWidth="1"/>
    <col min="6" max="6" width="19.88671875" style="38" customWidth="1"/>
    <col min="7" max="7" width="18.3359375" style="38" customWidth="1"/>
    <col min="8" max="8" width="19.88671875" style="38" customWidth="1"/>
    <col min="9" max="9" width="0.78125" style="38" customWidth="1"/>
    <col min="10" max="10" width="1.99609375" style="196" customWidth="1"/>
  </cols>
  <sheetData>
    <row r="1" spans="1:10" ht="27">
      <c r="A1" s="285" t="str">
        <f>IF(G9="","Berechnungsbogen","Berechnungsbogen "&amp;YEAR(H9)-1&amp;"/"&amp;YEAR(H9)&amp;":")</f>
        <v>Berechnungsbogen 2013/2014:</v>
      </c>
      <c r="B1" s="24"/>
      <c r="C1" s="24"/>
      <c r="D1" s="24"/>
      <c r="E1" s="24"/>
      <c r="F1" s="24"/>
      <c r="G1" s="24"/>
      <c r="H1" s="284" t="s">
        <v>75</v>
      </c>
      <c r="I1" s="25"/>
      <c r="J1" s="156"/>
    </row>
    <row r="2" spans="1:10" ht="23.25">
      <c r="A2" s="347" t="s">
        <v>60</v>
      </c>
      <c r="B2" s="348"/>
      <c r="C2" s="348"/>
      <c r="D2" s="348"/>
      <c r="E2" s="348"/>
      <c r="F2" s="348"/>
      <c r="G2" s="348"/>
      <c r="H2" s="349"/>
      <c r="I2" s="26"/>
      <c r="J2" s="156"/>
    </row>
    <row r="3" spans="1:10" ht="28.5" customHeight="1" thickBot="1">
      <c r="A3" s="27"/>
      <c r="B3" s="28"/>
      <c r="C3" s="28"/>
      <c r="D3" s="28"/>
      <c r="E3" s="291" t="str">
        <f>"Für den Zeitraum 01.01."&amp;YEAR(H9)-1&amp;" bis 31.12."&amp;YEAR(H9)</f>
        <v>Für den Zeitraum 01.01.2013 bis 31.12.2014</v>
      </c>
      <c r="F3" s="30"/>
      <c r="G3" s="31"/>
      <c r="H3" s="286">
        <f>IF(Antrag!D7&gt;0,"Indexdummys:","")</f>
      </c>
      <c r="I3" s="26"/>
      <c r="J3" s="156"/>
    </row>
    <row r="4" spans="1:10" ht="18.75" customHeight="1" thickBot="1" thickTop="1">
      <c r="A4" s="27"/>
      <c r="B4" s="28"/>
      <c r="C4" s="28"/>
      <c r="D4" s="28"/>
      <c r="E4" s="29"/>
      <c r="F4" s="30"/>
      <c r="G4" s="32" t="str">
        <f>"Bau-Index Mai "&amp;YEAR(H9)-2&amp;" (= für 2-jährige Fortschreibung) "</f>
        <v>Bau-Index Mai 2012 (= für 2-jährige Fortschreibung) </v>
      </c>
      <c r="H4" s="209">
        <f>Antrag!H6</f>
        <v>589</v>
      </c>
      <c r="I4" s="26"/>
      <c r="J4" s="156"/>
    </row>
    <row r="5" spans="1:10" ht="18.75" thickBot="1">
      <c r="A5" s="33"/>
      <c r="B5" s="34"/>
      <c r="C5" s="35" t="str">
        <f>"Pauschale kurzfristiger Anlagebereich für "&amp;YEAR(H9)-1&amp;" u. "&amp;YEAR(H9)&amp;"  "</f>
        <v>Pauschale kurzfristiger Anlagebereich für 2013 u. 2014  </v>
      </c>
      <c r="D5" s="157">
        <f>ROUND(1495*(100+ROUND((H4-469.7)/4.697,2))/100,0)</f>
        <v>1875</v>
      </c>
      <c r="E5" s="36"/>
      <c r="F5" s="36"/>
      <c r="G5" s="35" t="str">
        <f>"Verbraucherpreis-Index Mai "&amp;YEAR(H9)-2&amp;" (= für 2-jährige Fortschreibung) "</f>
        <v>Verbraucherpreis-Index Mai 2012 (= für 2-jährige Fortschreibung) </v>
      </c>
      <c r="H5" s="208">
        <f>Antrag!H8</f>
        <v>120.3</v>
      </c>
      <c r="I5" s="37"/>
      <c r="J5" s="156"/>
    </row>
    <row r="6" spans="5:10" ht="9" customHeight="1">
      <c r="E6" s="37"/>
      <c r="H6" s="37"/>
      <c r="J6" s="156"/>
    </row>
    <row r="7" spans="1:10" ht="78.75" customHeight="1">
      <c r="A7" s="350" t="s">
        <v>77</v>
      </c>
      <c r="B7" s="351"/>
      <c r="C7" s="351"/>
      <c r="D7" s="351"/>
      <c r="E7" s="351"/>
      <c r="F7" s="351"/>
      <c r="G7" s="351"/>
      <c r="H7" s="352"/>
      <c r="I7" s="158"/>
      <c r="J7" s="156"/>
    </row>
    <row r="8" spans="5:10" ht="15.75" thickBot="1">
      <c r="E8" s="37"/>
      <c r="H8" s="37"/>
      <c r="J8" s="156"/>
    </row>
    <row r="9" spans="1:10" ht="21" thickBot="1">
      <c r="A9" s="105" t="s">
        <v>20</v>
      </c>
      <c r="B9" s="93"/>
      <c r="C9" s="93"/>
      <c r="D9" s="81" t="s">
        <v>80</v>
      </c>
      <c r="E9" s="237">
        <f>Antrag!J1</f>
        <v>0</v>
      </c>
      <c r="F9" s="130" t="s">
        <v>73</v>
      </c>
      <c r="G9" s="238">
        <f>IF(Antrag!H21="","",Antrag!H21)</f>
        <v>41275</v>
      </c>
      <c r="H9" s="252">
        <f>IF(Antrag!J21="","",Antrag!J21)</f>
        <v>42004</v>
      </c>
      <c r="I9" s="93"/>
      <c r="J9" s="156"/>
    </row>
    <row r="10" spans="1:10" ht="23.25">
      <c r="A10" s="83"/>
      <c r="B10" s="82"/>
      <c r="D10" s="39"/>
      <c r="E10" s="39"/>
      <c r="G10" s="293">
        <f>Antrag!A2</f>
      </c>
      <c r="I10" s="39"/>
      <c r="J10" s="156"/>
    </row>
    <row r="11" spans="1:10" ht="20.25">
      <c r="A11" s="136" t="s">
        <v>0</v>
      </c>
      <c r="B11" s="136" t="s">
        <v>57</v>
      </c>
      <c r="C11" s="353">
        <f>Antrag!B11</f>
        <v>0</v>
      </c>
      <c r="D11" s="354"/>
      <c r="E11" s="354"/>
      <c r="F11" s="354"/>
      <c r="G11" s="354"/>
      <c r="H11" s="354"/>
      <c r="I11" s="39"/>
      <c r="J11" s="156"/>
    </row>
    <row r="12" spans="5:10" ht="15.75" thickBot="1">
      <c r="E12" s="37"/>
      <c r="H12" s="37"/>
      <c r="J12" s="156"/>
    </row>
    <row r="13" spans="1:10" ht="18.75" thickBot="1">
      <c r="A13" s="138" t="s">
        <v>3</v>
      </c>
      <c r="B13" s="93" t="s">
        <v>21</v>
      </c>
      <c r="E13" s="37"/>
      <c r="H13" s="211">
        <f>Antrag!J23</f>
        <v>0</v>
      </c>
      <c r="J13" s="156"/>
    </row>
    <row r="14" spans="1:10" ht="18.75" thickBot="1">
      <c r="A14" s="138" t="s">
        <v>4</v>
      </c>
      <c r="B14" s="140" t="s">
        <v>15</v>
      </c>
      <c r="H14" s="211">
        <f>Antrag!J25</f>
        <v>0</v>
      </c>
      <c r="J14" s="156"/>
    </row>
    <row r="15" spans="1:10" ht="18.75" thickBot="1">
      <c r="A15" s="133"/>
      <c r="B15" s="100"/>
      <c r="E15" s="86"/>
      <c r="H15" s="159"/>
      <c r="J15" s="156"/>
    </row>
    <row r="16" spans="1:10" ht="18.75" thickBot="1">
      <c r="A16" s="138" t="s">
        <v>9</v>
      </c>
      <c r="B16" s="93" t="s">
        <v>16</v>
      </c>
      <c r="G16" s="51"/>
      <c r="H16" s="211">
        <f>Antrag!J27</f>
        <v>0</v>
      </c>
      <c r="J16" s="156"/>
    </row>
    <row r="17" spans="2:10" ht="18.75" thickBot="1">
      <c r="B17" s="110" t="s">
        <v>105</v>
      </c>
      <c r="H17" s="300">
        <f>Antrag!J28</f>
        <v>0</v>
      </c>
      <c r="J17" s="156"/>
    </row>
    <row r="18" spans="1:10" ht="18.75" thickBot="1">
      <c r="A18" s="133"/>
      <c r="B18" s="93"/>
      <c r="H18" s="160"/>
      <c r="J18" s="156"/>
    </row>
    <row r="19" spans="1:10" ht="18.75" thickBot="1">
      <c r="A19" s="138" t="s">
        <v>17</v>
      </c>
      <c r="B19" s="93" t="s">
        <v>102</v>
      </c>
      <c r="F19" s="42"/>
      <c r="G19" s="41"/>
      <c r="H19" s="239">
        <f>IF(AND(Antrag!J31&lt;&gt;"",Antrag!J32=""),"X","")</f>
      </c>
      <c r="J19" s="156"/>
    </row>
    <row r="20" spans="1:10" ht="18.75" thickBot="1">
      <c r="A20" s="138" t="s">
        <v>19</v>
      </c>
      <c r="B20" s="93" t="s">
        <v>72</v>
      </c>
      <c r="E20" s="84"/>
      <c r="H20" s="239">
        <f>IF(H13&gt;0,IF(H19="","X",""),"")</f>
      </c>
      <c r="J20" s="156"/>
    </row>
    <row r="21" spans="1:10" ht="25.5" customHeight="1">
      <c r="A21" s="133"/>
      <c r="B21" s="100"/>
      <c r="E21" s="84"/>
      <c r="F21" s="214"/>
      <c r="G21" s="215"/>
      <c r="J21" s="156"/>
    </row>
    <row r="22" spans="1:10" ht="29.25" customHeight="1">
      <c r="A22" s="131" t="s">
        <v>29</v>
      </c>
      <c r="B22" s="131" t="s">
        <v>22</v>
      </c>
      <c r="J22" s="156"/>
    </row>
    <row r="23" spans="1:10" ht="18">
      <c r="A23" s="132"/>
      <c r="B23" s="236" t="s">
        <v>47</v>
      </c>
      <c r="F23" s="133"/>
      <c r="G23" s="99"/>
      <c r="H23" s="45"/>
      <c r="J23" s="156"/>
    </row>
    <row r="24" spans="1:10" ht="20.25">
      <c r="A24" s="132"/>
      <c r="B24" s="131"/>
      <c r="G24" s="253" t="s">
        <v>76</v>
      </c>
      <c r="H24" s="45"/>
      <c r="J24" s="156"/>
    </row>
    <row r="25" spans="1:10" ht="9.75" customHeight="1" thickBot="1">
      <c r="A25" s="44"/>
      <c r="B25" s="44"/>
      <c r="H25" s="40"/>
      <c r="J25" s="156"/>
    </row>
    <row r="26" spans="1:10" ht="18.75" thickBot="1">
      <c r="A26" s="138" t="s">
        <v>3</v>
      </c>
      <c r="B26" s="93" t="s">
        <v>51</v>
      </c>
      <c r="D26" s="41"/>
      <c r="F26" s="301">
        <f>Antrag!H38</f>
        <v>0</v>
      </c>
      <c r="G26" s="161" t="s">
        <v>61</v>
      </c>
      <c r="H26" s="301">
        <f>Antrag!J38</f>
        <v>0</v>
      </c>
      <c r="J26" s="156"/>
    </row>
    <row r="27" spans="1:10" ht="15.75">
      <c r="A27" s="91"/>
      <c r="B27" s="129"/>
      <c r="E27" s="47"/>
      <c r="F27" s="87"/>
      <c r="G27" s="37"/>
      <c r="H27" s="40"/>
      <c r="J27" s="156"/>
    </row>
    <row r="28" spans="1:10" ht="18.75" thickBot="1">
      <c r="A28" s="138" t="s">
        <v>4</v>
      </c>
      <c r="B28" s="93" t="s">
        <v>62</v>
      </c>
      <c r="C28" s="48"/>
      <c r="D28" s="48"/>
      <c r="E28" s="48"/>
      <c r="F28" s="88"/>
      <c r="G28" s="12"/>
      <c r="H28" s="50"/>
      <c r="J28" s="156"/>
    </row>
    <row r="29" spans="1:10" ht="18.75" thickBot="1">
      <c r="A29" s="91"/>
      <c r="B29" s="140" t="s">
        <v>23</v>
      </c>
      <c r="C29" s="48"/>
      <c r="D29" s="48"/>
      <c r="F29" s="223">
        <f>Antrag!H44</f>
        <v>0</v>
      </c>
      <c r="G29" s="162" t="s">
        <v>24</v>
      </c>
      <c r="H29" s="223">
        <f>Antrag!J44</f>
        <v>0</v>
      </c>
      <c r="J29" s="156"/>
    </row>
    <row r="30" spans="1:10" ht="18.75" thickBot="1">
      <c r="A30" s="138" t="s">
        <v>9</v>
      </c>
      <c r="B30" s="93" t="s">
        <v>25</v>
      </c>
      <c r="C30" s="48"/>
      <c r="D30" s="48"/>
      <c r="E30" s="48"/>
      <c r="F30" s="224">
        <f>Antrag!H45</f>
        <v>0</v>
      </c>
      <c r="G30" s="116" t="s">
        <v>2</v>
      </c>
      <c r="H30" s="224">
        <f>Antrag!J45</f>
        <v>0</v>
      </c>
      <c r="J30" s="156"/>
    </row>
    <row r="31" spans="1:10" ht="18">
      <c r="A31" s="91"/>
      <c r="B31" s="93" t="s">
        <v>26</v>
      </c>
      <c r="C31" s="48"/>
      <c r="D31" s="48"/>
      <c r="E31" s="48"/>
      <c r="F31" s="52">
        <f>IF(F30*40&lt;F29,F30*40,F29)</f>
        <v>0</v>
      </c>
      <c r="G31" s="85" t="s">
        <v>46</v>
      </c>
      <c r="H31" s="52">
        <f>IF(H30*40&lt;H29,H30*40,H29)</f>
        <v>0</v>
      </c>
      <c r="J31" s="156"/>
    </row>
    <row r="32" spans="1:10" ht="18">
      <c r="A32" s="138" t="s">
        <v>17</v>
      </c>
      <c r="B32" s="113" t="str">
        <f>"alternative qm-Verteilung (vgl. Regelung ab 01.01."&amp;YEAR(H9)-3&amp;")"</f>
        <v>alternative qm-Verteilung (vgl. Regelung ab 01.01.2011)</v>
      </c>
      <c r="C32" s="48"/>
      <c r="D32" s="48"/>
      <c r="E32" s="48"/>
      <c r="F32" s="225">
        <f>Antrag!H47</f>
        <v>0</v>
      </c>
      <c r="G32" s="85" t="s">
        <v>46</v>
      </c>
      <c r="H32" s="225">
        <f>Antrag!J47</f>
        <v>0</v>
      </c>
      <c r="J32" s="156"/>
    </row>
    <row r="33" spans="1:10" ht="12.75" customHeight="1" thickBot="1">
      <c r="A33" s="91"/>
      <c r="C33" s="48"/>
      <c r="D33" s="48"/>
      <c r="E33" s="48"/>
      <c r="F33" s="89"/>
      <c r="G33" s="101">
        <f>IF(OR(F32+H32=0,AND(F32+H32&lt;=F29+H29,F32+H32&lt;=40*(F30+H30))),"","F e h l e r  q m-V e r t e i l u n g")</f>
      </c>
      <c r="H33" s="12"/>
      <c r="J33" s="156"/>
    </row>
    <row r="34" spans="1:10" ht="18.75" thickBot="1">
      <c r="A34" s="138" t="s">
        <v>19</v>
      </c>
      <c r="B34" s="229" t="s">
        <v>103</v>
      </c>
      <c r="C34" s="48"/>
      <c r="D34" s="48"/>
      <c r="E34" s="48"/>
      <c r="F34" s="233">
        <f>Antrag!H50</f>
        <v>0</v>
      </c>
      <c r="G34" s="163" t="s">
        <v>63</v>
      </c>
      <c r="H34" s="233">
        <f>Antrag!J50</f>
        <v>0</v>
      </c>
      <c r="J34" s="156"/>
    </row>
    <row r="35" spans="1:10" ht="27.75" customHeight="1">
      <c r="A35" s="137"/>
      <c r="B35" s="345" t="s">
        <v>104</v>
      </c>
      <c r="C35" s="346"/>
      <c r="D35" s="346"/>
      <c r="E35" s="346"/>
      <c r="F35" s="287">
        <v>103.4</v>
      </c>
      <c r="G35" s="164" t="s">
        <v>27</v>
      </c>
      <c r="H35" s="287">
        <v>103.4</v>
      </c>
      <c r="I35" s="55"/>
      <c r="J35" s="156"/>
    </row>
    <row r="36" spans="1:10" ht="10.5" customHeight="1">
      <c r="A36" s="137"/>
      <c r="B36" s="56"/>
      <c r="C36" s="55"/>
      <c r="D36" s="55"/>
      <c r="E36" s="55"/>
      <c r="F36" s="165"/>
      <c r="G36" s="165"/>
      <c r="H36" s="165"/>
      <c r="I36" s="55"/>
      <c r="J36" s="156"/>
    </row>
    <row r="37" spans="1:10" ht="18">
      <c r="A37" s="138" t="s">
        <v>58</v>
      </c>
      <c r="B37" s="93" t="s">
        <v>48</v>
      </c>
      <c r="F37" s="166">
        <f>H5</f>
        <v>120.3</v>
      </c>
      <c r="G37" s="155" t="s">
        <v>27</v>
      </c>
      <c r="H37" s="166">
        <f>H5</f>
        <v>120.3</v>
      </c>
      <c r="J37" s="156"/>
    </row>
    <row r="38" spans="2:10" ht="18.75" thickBot="1">
      <c r="B38" s="93" t="s">
        <v>74</v>
      </c>
      <c r="E38" s="57"/>
      <c r="F38" s="167">
        <f>ROUND((H5-F35)/F35*100,2)</f>
        <v>16.34</v>
      </c>
      <c r="G38" s="91" t="s">
        <v>28</v>
      </c>
      <c r="H38" s="167">
        <f>ROUND((H5-H35)/H35*100,2)</f>
        <v>16.34</v>
      </c>
      <c r="J38" s="156"/>
    </row>
    <row r="39" spans="2:10" ht="21.75" thickBot="1" thickTop="1">
      <c r="B39" s="289" t="s">
        <v>107</v>
      </c>
      <c r="F39" s="168">
        <f>ROUND(F34*(F38+100)/100,2)</f>
        <v>0</v>
      </c>
      <c r="G39" s="163" t="s">
        <v>42</v>
      </c>
      <c r="H39" s="168">
        <f>ROUND(H34*(H38+100)/100,2)</f>
        <v>0</v>
      </c>
      <c r="J39" s="156"/>
    </row>
    <row r="40" spans="6:10" ht="17.25" thickBot="1" thickTop="1">
      <c r="F40" s="49"/>
      <c r="G40" s="49"/>
      <c r="H40" s="49"/>
      <c r="J40" s="156"/>
    </row>
    <row r="41" spans="1:10" ht="21" thickBot="1">
      <c r="A41" s="134" t="s">
        <v>49</v>
      </c>
      <c r="B41" s="134" t="s">
        <v>5</v>
      </c>
      <c r="C41" s="288"/>
      <c r="F41" s="49"/>
      <c r="G41" s="161" t="s">
        <v>61</v>
      </c>
      <c r="H41" s="301">
        <f>Antrag!J53</f>
        <v>0</v>
      </c>
      <c r="J41" s="156"/>
    </row>
    <row r="42" spans="1:10" ht="18">
      <c r="A42"/>
      <c r="B42" s="288" t="s">
        <v>56</v>
      </c>
      <c r="C42"/>
      <c r="F42" s="49"/>
      <c r="G42" s="49"/>
      <c r="H42" s="49"/>
      <c r="J42" s="156"/>
    </row>
    <row r="43" spans="6:10" ht="15.75">
      <c r="F43" s="49"/>
      <c r="G43" s="49"/>
      <c r="H43" s="49"/>
      <c r="J43" s="156"/>
    </row>
    <row r="44" spans="1:10" ht="23.25">
      <c r="A44" s="139" t="s">
        <v>59</v>
      </c>
      <c r="B44" s="135" t="s">
        <v>64</v>
      </c>
      <c r="E44" s="58"/>
      <c r="G44" s="42"/>
      <c r="H44" s="42"/>
      <c r="J44" s="156"/>
    </row>
    <row r="45" spans="1:10" ht="20.25">
      <c r="A45" s="46"/>
      <c r="B45" s="169" t="s">
        <v>30</v>
      </c>
      <c r="C45" s="170" t="s">
        <v>65</v>
      </c>
      <c r="D45" s="165"/>
      <c r="E45" s="165"/>
      <c r="F45" s="171"/>
      <c r="G45" s="240">
        <f>ROUND(IF(F26&gt;0,MIN(F26,C46*D46*12),C46*D46*12),0)</f>
        <v>0</v>
      </c>
      <c r="H45" s="190" t="s">
        <v>43</v>
      </c>
      <c r="I45" s="46"/>
      <c r="J45" s="156"/>
    </row>
    <row r="46" spans="1:10" ht="20.25">
      <c r="A46" s="46"/>
      <c r="B46" s="172"/>
      <c r="C46" s="173">
        <f>F39</f>
        <v>0</v>
      </c>
      <c r="D46" s="174">
        <f>IF(F32+H32=0,F31,IF(F32&lt;=F31,F32,MIN(F32,F29,(F30+H30)*40)))</f>
        <v>0</v>
      </c>
      <c r="E46" s="175" t="s">
        <v>45</v>
      </c>
      <c r="F46" s="171"/>
      <c r="G46" s="240"/>
      <c r="H46" s="241"/>
      <c r="I46" s="46"/>
      <c r="J46" s="156"/>
    </row>
    <row r="47" spans="1:10" ht="20.25">
      <c r="A47" s="46"/>
      <c r="B47" s="169" t="s">
        <v>31</v>
      </c>
      <c r="C47" s="170" t="s">
        <v>65</v>
      </c>
      <c r="D47" s="165"/>
      <c r="E47" s="165"/>
      <c r="F47" s="171"/>
      <c r="G47" s="240">
        <f>ROUND(IF(H26&gt;0,MIN(H26,C48*D48*12),C48*D48*12),0)</f>
        <v>0</v>
      </c>
      <c r="H47" s="190" t="s">
        <v>43</v>
      </c>
      <c r="I47" s="46"/>
      <c r="J47" s="156"/>
    </row>
    <row r="48" spans="1:10" ht="20.25">
      <c r="A48" s="46"/>
      <c r="B48" s="176"/>
      <c r="C48" s="173">
        <f>H39</f>
        <v>0</v>
      </c>
      <c r="D48" s="174">
        <f>IF(H32+F32=0,H31,MIN(H32,H29,((F30+H30)*40)-F32))</f>
        <v>0</v>
      </c>
      <c r="E48" s="175" t="s">
        <v>45</v>
      </c>
      <c r="F48" s="171"/>
      <c r="G48" s="241"/>
      <c r="H48" s="241"/>
      <c r="I48" s="46"/>
      <c r="J48" s="156"/>
    </row>
    <row r="49" spans="1:10" ht="20.25">
      <c r="A49" s="46"/>
      <c r="B49" s="169" t="s">
        <v>66</v>
      </c>
      <c r="C49" s="56"/>
      <c r="D49" s="177"/>
      <c r="E49" s="178"/>
      <c r="F49" s="179"/>
      <c r="G49" s="240">
        <f>C50*D50</f>
        <v>0</v>
      </c>
      <c r="H49" s="190" t="s">
        <v>43</v>
      </c>
      <c r="I49" s="46"/>
      <c r="J49" s="156"/>
    </row>
    <row r="50" spans="1:10" ht="20.25">
      <c r="A50" s="46"/>
      <c r="B50" s="56"/>
      <c r="C50" s="180">
        <f>D5</f>
        <v>1875</v>
      </c>
      <c r="D50" s="181">
        <f>H13</f>
        <v>0</v>
      </c>
      <c r="E50" s="178"/>
      <c r="F50" s="179"/>
      <c r="G50" s="240"/>
      <c r="H50" s="190"/>
      <c r="I50" s="46"/>
      <c r="J50" s="182"/>
    </row>
    <row r="51" spans="1:10" ht="20.25">
      <c r="A51" s="46"/>
      <c r="B51" s="183"/>
      <c r="C51" s="184"/>
      <c r="D51" s="185"/>
      <c r="E51" s="186"/>
      <c r="F51" s="186"/>
      <c r="G51" s="242"/>
      <c r="H51" s="243">
        <f>IF(G51="",""," Euro")</f>
      </c>
      <c r="I51" s="46"/>
      <c r="J51" s="182"/>
    </row>
    <row r="52" spans="1:10" ht="21" thickBot="1">
      <c r="A52" s="46"/>
      <c r="B52" s="140" t="s">
        <v>32</v>
      </c>
      <c r="C52" s="46"/>
      <c r="D52" s="46"/>
      <c r="E52" s="46"/>
      <c r="F52" s="46"/>
      <c r="G52" s="244">
        <f>IF(H41&gt;0,H41*(-1),H41)</f>
        <v>0</v>
      </c>
      <c r="H52" s="190" t="s">
        <v>43</v>
      </c>
      <c r="I52" s="46"/>
      <c r="J52" s="182"/>
    </row>
    <row r="53" spans="1:10" ht="21" thickBot="1">
      <c r="A53" s="46"/>
      <c r="B53" s="141" t="s">
        <v>33</v>
      </c>
      <c r="C53" s="92"/>
      <c r="D53" s="187"/>
      <c r="E53" s="290" t="str">
        <f>"    Euro      : 2   (mit Blick auf "&amp;YEAR(H9)&amp;" )"</f>
        <v>    Euro      : 2   (mit Blick auf 2014 )</v>
      </c>
      <c r="F53" s="92"/>
      <c r="G53" s="245">
        <f>ROUND(D53/2,0)</f>
        <v>0</v>
      </c>
      <c r="H53" s="246" t="s">
        <v>43</v>
      </c>
      <c r="I53" s="46"/>
      <c r="J53" s="182"/>
    </row>
    <row r="54" spans="1:10" ht="23.25">
      <c r="A54" s="104"/>
      <c r="B54" s="142" t="s">
        <v>44</v>
      </c>
      <c r="C54" s="104"/>
      <c r="D54" s="106"/>
      <c r="E54" s="188"/>
      <c r="F54" s="188"/>
      <c r="G54" s="189">
        <f>SUM(G45:G53)</f>
        <v>0</v>
      </c>
      <c r="H54" s="190" t="s">
        <v>43</v>
      </c>
      <c r="I54" s="104"/>
      <c r="J54" s="191"/>
    </row>
    <row r="55" spans="1:10" s="250" customFormat="1" ht="21" thickBot="1">
      <c r="A55" s="104"/>
      <c r="B55" s="140" t="s">
        <v>34</v>
      </c>
      <c r="C55" s="105"/>
      <c r="D55" s="138">
        <f>IF(H16&gt;0,H16,0)</f>
        <v>0</v>
      </c>
      <c r="E55" s="247">
        <f>IF(H16&gt;0,"x 365 x 95 % x ","")</f>
      </c>
      <c r="F55" s="248">
        <f>IF(H13=H16,0,IF(H16&gt;0,H17,0))</f>
        <v>0</v>
      </c>
      <c r="G55" s="249">
        <f>IF(D55&gt;0,ROUND(+D55*365*0.95*F55*(-1),0),0)</f>
        <v>0</v>
      </c>
      <c r="H55" s="246" t="s">
        <v>43</v>
      </c>
      <c r="I55" s="104"/>
      <c r="J55" s="191"/>
    </row>
    <row r="56" spans="1:10" ht="23.25">
      <c r="A56" s="107"/>
      <c r="B56" s="143" t="s">
        <v>35</v>
      </c>
      <c r="C56" s="108"/>
      <c r="D56" s="108"/>
      <c r="E56" s="192"/>
      <c r="F56" s="192"/>
      <c r="G56" s="193">
        <f>SUM(G54:G55)</f>
        <v>0</v>
      </c>
      <c r="H56" s="190" t="s">
        <v>43</v>
      </c>
      <c r="I56" s="107"/>
      <c r="J56" s="194"/>
    </row>
    <row r="57" spans="5:8" ht="15">
      <c r="E57" s="195"/>
      <c r="F57" s="195"/>
      <c r="G57" s="195"/>
      <c r="H57" s="195"/>
    </row>
    <row r="58" spans="2:8" ht="20.25">
      <c r="B58" s="93" t="s">
        <v>36</v>
      </c>
      <c r="D58" s="133">
        <f>H13</f>
        <v>0</v>
      </c>
      <c r="E58" s="197" t="s">
        <v>37</v>
      </c>
      <c r="F58" s="198"/>
      <c r="G58" s="199">
        <f>ROUND(+D58*365*0.95,0)</f>
        <v>0</v>
      </c>
      <c r="H58" s="200">
        <f>IF(G58=0,0,ROUND(+G56/G58,2))</f>
        <v>0</v>
      </c>
    </row>
    <row r="59" spans="2:8" ht="20.25">
      <c r="B59" s="93"/>
      <c r="D59" s="91"/>
      <c r="E59" s="56"/>
      <c r="F59" s="198"/>
      <c r="G59" s="201"/>
      <c r="H59" s="202"/>
    </row>
    <row r="60" spans="2:8" ht="20.25">
      <c r="B60" s="93" t="str">
        <f>"EDV-Pauschale (Stand "&amp;YEAR(H9)-1&amp;" u. "&amp;YEAR(H9)&amp;")     ="</f>
        <v>EDV-Pauschale (Stand 2013 u. 2014)     =</v>
      </c>
      <c r="C60" s="41"/>
      <c r="D60" s="144"/>
      <c r="E60" s="251">
        <f>ROUND(0.56/475.8*H4,2)</f>
        <v>0.69</v>
      </c>
      <c r="F60" s="299">
        <f>IF(H3="","","( lt. Indexdummy )")</f>
      </c>
      <c r="G60" s="201"/>
      <c r="H60" s="200">
        <f>E60</f>
        <v>0.69</v>
      </c>
    </row>
    <row r="61" spans="2:8" ht="16.5" thickBot="1">
      <c r="B61" s="46"/>
      <c r="D61" s="47"/>
      <c r="F61" s="41"/>
      <c r="G61" s="43"/>
      <c r="H61" s="47"/>
    </row>
    <row r="62" spans="2:9" ht="15.75" thickTop="1">
      <c r="B62" s="59"/>
      <c r="C62" s="60"/>
      <c r="D62" s="60"/>
      <c r="E62" s="60"/>
      <c r="F62" s="60"/>
      <c r="G62" s="60"/>
      <c r="H62" s="61"/>
      <c r="I62" s="62"/>
    </row>
    <row r="63" spans="2:9" ht="20.25">
      <c r="B63" s="145" t="s">
        <v>38</v>
      </c>
      <c r="C63" s="62"/>
      <c r="D63" s="62"/>
      <c r="E63" s="147" t="s">
        <v>39</v>
      </c>
      <c r="F63" s="148"/>
      <c r="G63" s="149" t="str">
        <f>IF(E67=46.02,"monatlich","x 30,42 = monatlich")</f>
        <v>x 30,42 = monatlich</v>
      </c>
      <c r="H63" s="203"/>
      <c r="I63" s="62"/>
    </row>
    <row r="64" spans="2:9" ht="20.25">
      <c r="B64" s="146"/>
      <c r="C64" s="62"/>
      <c r="D64" s="62"/>
      <c r="E64" s="62"/>
      <c r="F64" s="62"/>
      <c r="G64" s="64">
        <f>IF(F30+H30=H13,"","FEHLER Platzzahl")</f>
      </c>
      <c r="H64" s="63"/>
      <c r="I64" s="62"/>
    </row>
    <row r="65" spans="2:9" ht="20.25">
      <c r="B65" s="145" t="str">
        <f>IF(G55=0,"   je Pflegeplatz","   Mehrbettzimmer")</f>
        <v>   je Pflegeplatz</v>
      </c>
      <c r="C65" s="65"/>
      <c r="D65" s="65"/>
      <c r="E65" s="150">
        <f>H58+H60</f>
        <v>0.69</v>
      </c>
      <c r="F65" s="151" t="s">
        <v>18</v>
      </c>
      <c r="G65" s="152">
        <f>ROUND(E65*30.42,2)</f>
        <v>20.99</v>
      </c>
      <c r="H65" s="204" t="s">
        <v>18</v>
      </c>
      <c r="I65" s="62"/>
    </row>
    <row r="66" spans="2:9" ht="20.25">
      <c r="B66" s="145"/>
      <c r="D66" s="65"/>
      <c r="E66" s="66"/>
      <c r="H66" s="63"/>
      <c r="I66" s="62"/>
    </row>
    <row r="67" spans="2:9" ht="20.25">
      <c r="B67" s="145">
        <f>IF(G55=0,"","   Einbettzimmer")</f>
      </c>
      <c r="C67" s="65"/>
      <c r="D67" s="65"/>
      <c r="E67" s="150">
        <f>IF(G55=0,"",E65+H17)</f>
      </c>
      <c r="F67" s="150">
        <f>IF(E67="","","Euro")</f>
      </c>
      <c r="G67" s="152">
        <f>IF(G55=0,"",ROUND(E67*30.42,2))</f>
      </c>
      <c r="H67" s="205">
        <f>IF(G67="","","Euro")</f>
      </c>
      <c r="I67" s="62"/>
    </row>
    <row r="68" spans="2:9" ht="15.75" thickBot="1">
      <c r="B68" s="67"/>
      <c r="C68" s="68"/>
      <c r="D68" s="68"/>
      <c r="E68" s="68"/>
      <c r="F68" s="68"/>
      <c r="G68" s="68"/>
      <c r="H68" s="69"/>
      <c r="I68" s="62" t="s">
        <v>40</v>
      </c>
    </row>
    <row r="69" ht="15.75" thickTop="1">
      <c r="I69" s="38" t="s">
        <v>40</v>
      </c>
    </row>
    <row r="70" spans="1:10" s="12" customFormat="1" ht="15">
      <c r="A70" s="37"/>
      <c r="B70" s="70" t="s">
        <v>41</v>
      </c>
      <c r="C70" s="71"/>
      <c r="D70" s="71"/>
      <c r="E70" s="71"/>
      <c r="F70" s="71"/>
      <c r="G70" s="71"/>
      <c r="H70" s="72"/>
      <c r="I70" s="75"/>
      <c r="J70" s="260"/>
    </row>
    <row r="71" spans="1:10" s="12" customFormat="1" ht="15">
      <c r="A71" s="37"/>
      <c r="B71" s="73"/>
      <c r="C71" s="75"/>
      <c r="D71" s="75"/>
      <c r="E71" s="75"/>
      <c r="F71" s="75"/>
      <c r="G71" s="75"/>
      <c r="H71" s="76"/>
      <c r="I71" s="75"/>
      <c r="J71" s="260"/>
    </row>
    <row r="72" spans="1:10" s="12" customFormat="1" ht="18">
      <c r="A72" s="37"/>
      <c r="B72" s="73"/>
      <c r="C72" s="74"/>
      <c r="D72" s="75"/>
      <c r="E72" s="75"/>
      <c r="F72" s="75"/>
      <c r="G72" s="75"/>
      <c r="H72" s="76"/>
      <c r="I72" s="75"/>
      <c r="J72" s="260"/>
    </row>
    <row r="73" spans="1:10" s="12" customFormat="1" ht="15">
      <c r="A73" s="37"/>
      <c r="B73" s="77"/>
      <c r="C73" s="78"/>
      <c r="D73" s="78"/>
      <c r="E73" s="78"/>
      <c r="F73" s="78"/>
      <c r="G73" s="78"/>
      <c r="H73" s="79"/>
      <c r="I73" s="75"/>
      <c r="J73" s="260"/>
    </row>
    <row r="74" ht="15">
      <c r="G74" s="38" t="s">
        <v>40</v>
      </c>
    </row>
    <row r="75" ht="15.75" thickBot="1"/>
    <row r="76" spans="7:8" ht="19.5" customHeight="1" thickBot="1">
      <c r="G76" s="267" t="s">
        <v>84</v>
      </c>
      <c r="H76" s="267" t="s">
        <v>85</v>
      </c>
    </row>
    <row r="77" spans="5:8" ht="19.5" customHeight="1" thickBot="1" thickTop="1">
      <c r="E77" s="273" t="s">
        <v>81</v>
      </c>
      <c r="F77" s="274" t="s">
        <v>82</v>
      </c>
      <c r="G77" s="343" t="s">
        <v>83</v>
      </c>
      <c r="H77" s="344"/>
    </row>
    <row r="78" spans="5:8" ht="19.5" customHeight="1" thickTop="1">
      <c r="E78" s="275">
        <v>36161</v>
      </c>
      <c r="F78" s="281" t="s">
        <v>91</v>
      </c>
      <c r="G78" s="337" t="s">
        <v>101</v>
      </c>
      <c r="H78" s="338"/>
    </row>
    <row r="79" spans="5:8" ht="19.5" customHeight="1">
      <c r="E79" s="276">
        <v>36892</v>
      </c>
      <c r="F79" s="282" t="s">
        <v>91</v>
      </c>
      <c r="G79" s="339"/>
      <c r="H79" s="340"/>
    </row>
    <row r="80" spans="5:8" ht="19.5" customHeight="1">
      <c r="E80" s="276">
        <v>37622</v>
      </c>
      <c r="F80" s="282" t="s">
        <v>91</v>
      </c>
      <c r="G80" s="341"/>
      <c r="H80" s="342"/>
    </row>
    <row r="81" spans="4:8" ht="19.5" customHeight="1">
      <c r="D81" s="283" t="s">
        <v>94</v>
      </c>
      <c r="E81" s="276">
        <v>38353</v>
      </c>
      <c r="F81" s="277">
        <v>39082</v>
      </c>
      <c r="G81" s="302">
        <v>491.9</v>
      </c>
      <c r="H81" s="303">
        <v>106.1</v>
      </c>
    </row>
    <row r="82" spans="4:14" ht="19.5" customHeight="1">
      <c r="D82" s="283" t="s">
        <v>95</v>
      </c>
      <c r="E82" s="276">
        <v>39083</v>
      </c>
      <c r="F82" s="277">
        <v>39813</v>
      </c>
      <c r="G82" s="307">
        <v>502.6</v>
      </c>
      <c r="H82" s="303">
        <v>109</v>
      </c>
      <c r="K82" s="306" t="s">
        <v>111</v>
      </c>
      <c r="N82" s="308" t="s">
        <v>110</v>
      </c>
    </row>
    <row r="83" spans="4:11" ht="19.5" customHeight="1">
      <c r="D83" s="283" t="s">
        <v>96</v>
      </c>
      <c r="E83" s="276">
        <v>39814</v>
      </c>
      <c r="F83" s="277">
        <v>40543</v>
      </c>
      <c r="G83" s="303">
        <v>550.3</v>
      </c>
      <c r="H83" s="303">
        <v>114.5</v>
      </c>
      <c r="K83" s="308" t="s">
        <v>112</v>
      </c>
    </row>
    <row r="84" spans="4:11" ht="19.5" customHeight="1">
      <c r="D84" s="283" t="s">
        <v>97</v>
      </c>
      <c r="E84" s="276">
        <v>40544</v>
      </c>
      <c r="F84" s="277">
        <v>41274</v>
      </c>
      <c r="G84" s="303">
        <v>561.2</v>
      </c>
      <c r="H84" s="303">
        <v>115.8</v>
      </c>
      <c r="K84" s="308" t="s">
        <v>113</v>
      </c>
    </row>
    <row r="85" spans="4:11" ht="19.5" customHeight="1">
      <c r="D85" s="283" t="s">
        <v>98</v>
      </c>
      <c r="E85" s="276">
        <v>41275</v>
      </c>
      <c r="F85" s="277">
        <v>42004</v>
      </c>
      <c r="G85" s="303">
        <v>589</v>
      </c>
      <c r="H85" s="303">
        <v>120.3</v>
      </c>
      <c r="K85" t="s">
        <v>114</v>
      </c>
    </row>
    <row r="86" spans="4:8" ht="19.5" customHeight="1">
      <c r="D86" s="283" t="s">
        <v>99</v>
      </c>
      <c r="E86" s="278">
        <v>42005</v>
      </c>
      <c r="F86" s="279">
        <v>42735</v>
      </c>
      <c r="G86" s="304"/>
      <c r="H86" s="304"/>
    </row>
    <row r="87" spans="4:8" ht="19.5" customHeight="1" thickBot="1">
      <c r="D87" s="283" t="s">
        <v>100</v>
      </c>
      <c r="E87" s="280">
        <v>42737</v>
      </c>
      <c r="F87" s="280">
        <v>43465</v>
      </c>
      <c r="G87" s="305"/>
      <c r="H87" s="305"/>
    </row>
  </sheetData>
  <sheetProtection/>
  <mergeCells count="6">
    <mergeCell ref="G78:H80"/>
    <mergeCell ref="G77:H77"/>
    <mergeCell ref="B35:E35"/>
    <mergeCell ref="A2:H2"/>
    <mergeCell ref="A7:H7"/>
    <mergeCell ref="C11:H11"/>
  </mergeCells>
  <printOptions/>
  <pageMargins left="0.787401575" right="0.23" top="0.46" bottom="0.44" header="0.29" footer="0.18"/>
  <pageSetup fitToHeight="1" fitToWidth="1" horizontalDpi="600" verticalDpi="600" orientation="portrait" paperSize="9" scale="54" r:id="rId1"/>
  <headerFooter alignWithMargins="0">
    <oddFooter>&amp;R&amp;F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Westfalen-Lippe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P035PS05</dc:creator>
  <cp:keywords/>
  <dc:description/>
  <cp:lastModifiedBy>LWL</cp:lastModifiedBy>
  <cp:lastPrinted>2006-03-01T07:24:59Z</cp:lastPrinted>
  <dcterms:created xsi:type="dcterms:W3CDTF">2000-06-07T09:50:08Z</dcterms:created>
  <dcterms:modified xsi:type="dcterms:W3CDTF">2012-07-05T06:50:54Z</dcterms:modified>
  <cp:category/>
  <cp:version/>
  <cp:contentType/>
  <cp:contentStatus/>
</cp:coreProperties>
</file>